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6" activeTab="0"/>
  </bookViews>
  <sheets>
    <sheet name="Existant" sheetId="1" r:id="rId1"/>
    <sheet name="CF_prévisionnels" sheetId="2" r:id="rId2"/>
    <sheet name="ComptesPrévisionnels" sheetId="3" r:id="rId3"/>
    <sheet name="Taux d'actualisation" sheetId="4" r:id="rId4"/>
    <sheet name="Evaluation_par_DCF" sheetId="5" r:id="rId5"/>
    <sheet name="Sensibilité" sheetId="6" r:id="rId6"/>
  </sheets>
  <definedNames/>
  <calcPr fullCalcOnLoad="1"/>
</workbook>
</file>

<file path=xl/sharedStrings.xml><?xml version="1.0" encoding="utf-8"?>
<sst xmlns="http://schemas.openxmlformats.org/spreadsheetml/2006/main" count="201" uniqueCount="100">
  <si>
    <t>Blue Steel</t>
  </si>
  <si>
    <t>Bilan</t>
  </si>
  <si>
    <t>Actif</t>
  </si>
  <si>
    <t>N-4</t>
  </si>
  <si>
    <t>N-3</t>
  </si>
  <si>
    <t>N-2</t>
  </si>
  <si>
    <t>N-1</t>
  </si>
  <si>
    <t>N</t>
  </si>
  <si>
    <t>Immobilisations corporelles brutes</t>
  </si>
  <si>
    <t xml:space="preserve"> - amortissements cumulés</t>
  </si>
  <si>
    <t>Immobilisations nettes</t>
  </si>
  <si>
    <t>Immobilisations financières nettes</t>
  </si>
  <si>
    <t>Actif immobilisé net</t>
  </si>
  <si>
    <t>Besoin en Fonds de Roulement (BFR)</t>
  </si>
  <si>
    <t>Disponibilités</t>
  </si>
  <si>
    <t>Capitaux engagés</t>
  </si>
  <si>
    <t>Passif</t>
  </si>
  <si>
    <t>Capitaux propres</t>
  </si>
  <si>
    <t>Dettes financières long terme</t>
  </si>
  <si>
    <t>Dettes financières court terme</t>
  </si>
  <si>
    <t>Compte de résultat</t>
  </si>
  <si>
    <t>Ventes</t>
  </si>
  <si>
    <t>Croissance des ventes</t>
  </si>
  <si>
    <t xml:space="preserve"> - coûts de production</t>
  </si>
  <si>
    <t>Profit brut</t>
  </si>
  <si>
    <t>% des ventes</t>
  </si>
  <si>
    <t xml:space="preserve"> - Frais fixes, administratifs et commerciaux</t>
  </si>
  <si>
    <t>Croissance de ces frais</t>
  </si>
  <si>
    <t>Résultat avant amortissements, intérêts et impôt</t>
  </si>
  <si>
    <t xml:space="preserve"> - amortissements et provisions</t>
  </si>
  <si>
    <t>Résultat avant intérêts et impôts</t>
  </si>
  <si>
    <t xml:space="preserve"> - intérêts financiers</t>
  </si>
  <si>
    <t xml:space="preserve"> + produits financiers</t>
  </si>
  <si>
    <t>Résultat avant impôt</t>
  </si>
  <si>
    <t>Résultat exceptionnel</t>
  </si>
  <si>
    <t xml:space="preserve"> - Impôt</t>
  </si>
  <si>
    <t>Résultat net</t>
  </si>
  <si>
    <t>taux d'intérêt</t>
  </si>
  <si>
    <t>taux d'imposition</t>
  </si>
  <si>
    <t>Compte de résultat prévisionnel</t>
  </si>
  <si>
    <t>Commentaire</t>
  </si>
  <si>
    <t>a</t>
  </si>
  <si>
    <t>b</t>
  </si>
  <si>
    <t>c</t>
  </si>
  <si>
    <t>d</t>
  </si>
  <si>
    <t>e</t>
  </si>
  <si>
    <t>f</t>
  </si>
  <si>
    <t>g</t>
  </si>
  <si>
    <t>h</t>
  </si>
  <si>
    <t>Année</t>
  </si>
  <si>
    <t xml:space="preserve"> + réintégration des amortissements et provisions</t>
  </si>
  <si>
    <t xml:space="preserve"> = Capacité d'autofinancement (CAF)</t>
  </si>
  <si>
    <t>Augmentation du BFR</t>
  </si>
  <si>
    <t>BFR en jours de ventes</t>
  </si>
  <si>
    <t>CAF</t>
  </si>
  <si>
    <t xml:space="preserve"> - augmentation du BFR</t>
  </si>
  <si>
    <t xml:space="preserve"> - investissement</t>
  </si>
  <si>
    <t xml:space="preserve"> = Cash flow net pour l'actionnaire</t>
  </si>
  <si>
    <t xml:space="preserve"> - impôt théorique</t>
  </si>
  <si>
    <t>Résultat économique après impôt</t>
  </si>
  <si>
    <t xml:space="preserve"> = CAF économique</t>
  </si>
  <si>
    <t xml:space="preserve"> = Cash flow économique net</t>
  </si>
  <si>
    <t>N+1</t>
  </si>
  <si>
    <t>N+2</t>
  </si>
  <si>
    <t>N+3</t>
  </si>
  <si>
    <t>N+4</t>
  </si>
  <si>
    <t>N+5</t>
  </si>
  <si>
    <t>rf</t>
  </si>
  <si>
    <t>Rm</t>
  </si>
  <si>
    <t>Bêtas des CP</t>
  </si>
  <si>
    <t xml:space="preserve">Coût des capitaux propres </t>
  </si>
  <si>
    <t>Capitaux propres au bilan</t>
  </si>
  <si>
    <t>PER</t>
  </si>
  <si>
    <t>Résultat anticipé N+1</t>
  </si>
  <si>
    <t>Valeur de marché des capitaux propres</t>
  </si>
  <si>
    <t>Valeur des dettes financières</t>
  </si>
  <si>
    <t>Coût des dettes financières</t>
  </si>
  <si>
    <t>CMPC</t>
  </si>
  <si>
    <t>Free Cash Flow to Equity (FCFE)</t>
  </si>
  <si>
    <t>Valeur actuelle des cash-flows</t>
  </si>
  <si>
    <t>Taux de croissance à l'infini (g)</t>
  </si>
  <si>
    <t>FCFE estimé pour l'année 6</t>
  </si>
  <si>
    <t>VM terminale estimée (VM5)</t>
  </si>
  <si>
    <t>Somme des valeurs actuelles des 5 premiers cash-flows</t>
  </si>
  <si>
    <t xml:space="preserve"> + valeur actuelle de la VM terminale</t>
  </si>
  <si>
    <t xml:space="preserve"> = Valeur de marché (VM) des capitaux propres</t>
  </si>
  <si>
    <t>Free Cash Flow to the Firm (FCFF)</t>
  </si>
  <si>
    <t>Taux de croissance à l'infini</t>
  </si>
  <si>
    <t>FCFF estimé pour l'année 6</t>
  </si>
  <si>
    <t>Valeur terminale estimée (VE5)</t>
  </si>
  <si>
    <t>Valeur actuelle des 5 premiers cash-flows</t>
  </si>
  <si>
    <t xml:space="preserve"> + valeur actuelle de la valeur terminale</t>
  </si>
  <si>
    <t xml:space="preserve"> = Valeur d'entreprise des actifs (VE)</t>
  </si>
  <si>
    <t xml:space="preserve"> - endettement net actuel</t>
  </si>
  <si>
    <t xml:space="preserve"> = Valeur de marché des capitaux propres (VM)</t>
  </si>
  <si>
    <t xml:space="preserve">Rappel  </t>
  </si>
  <si>
    <t>Valeur des CP dans le CMPC</t>
  </si>
  <si>
    <t>VM par FCFE</t>
  </si>
  <si>
    <t>VM par FCFF</t>
  </si>
  <si>
    <t>Sauvegardez la feuille sous un autre nom, puis changez les chiffres dans « CF prévisionnels » et observez les résultats sur VM dans « Evaluation par les DCF 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</si>
</sst>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"/>
    <numFmt numFmtId="166" formatCode="0.0"/>
    <numFmt numFmtId="167" formatCode="#,##0.00&quot;    &quot;;\-#,##0.00&quot;    &quot;;&quot; -&quot;#&quot;    &quot;;@\ "/>
    <numFmt numFmtId="168" formatCode="\+0.0%;\-0.0%"/>
    <numFmt numFmtId="169" formatCode="0.0%"/>
    <numFmt numFmtId="170" formatCode="\+0.0%"/>
    <numFmt numFmtId="171" formatCode="\+#,##0.0;\-#,##0.0"/>
    <numFmt numFmtId="172" formatCode="0.00%"/>
    <numFmt numFmtId="173" formatCode="#,##0"/>
    <numFmt numFmtId="174" formatCode="0%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5" xfId="0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4" fontId="1" fillId="0" borderId="3" xfId="0" applyFont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3" xfId="0" applyFont="1" applyBorder="1" applyAlignment="1">
      <alignment horizontal="center"/>
    </xf>
    <xf numFmtId="166" fontId="0" fillId="0" borderId="4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0" fillId="0" borderId="3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15" applyNumberFormat="1" applyFont="1" applyFill="1" applyBorder="1" applyAlignment="1" applyProtection="1">
      <alignment horizontal="center"/>
      <protection/>
    </xf>
    <xf numFmtId="165" fontId="1" fillId="0" borderId="9" xfId="15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4" fontId="1" fillId="0" borderId="5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165" fontId="1" fillId="0" borderId="14" xfId="15" applyNumberFormat="1" applyFont="1" applyFill="1" applyBorder="1" applyAlignment="1" applyProtection="1">
      <alignment horizontal="center"/>
      <protection/>
    </xf>
    <xf numFmtId="165" fontId="1" fillId="2" borderId="9" xfId="15" applyNumberFormat="1" applyFont="1" applyFill="1" applyBorder="1" applyAlignment="1" applyProtection="1">
      <alignment horizontal="center"/>
      <protection/>
    </xf>
    <xf numFmtId="165" fontId="1" fillId="2" borderId="15" xfId="15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2" borderId="10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/>
    </xf>
    <xf numFmtId="169" fontId="2" fillId="0" borderId="16" xfId="0" applyNumberFormat="1" applyFont="1" applyBorder="1" applyAlignment="1">
      <alignment horizontal="center"/>
    </xf>
    <xf numFmtId="169" fontId="2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5" fontId="0" fillId="0" borderId="1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8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4" fontId="4" fillId="0" borderId="3" xfId="0" applyFont="1" applyBorder="1" applyAlignment="1">
      <alignment/>
    </xf>
    <xf numFmtId="165" fontId="4" fillId="0" borderId="4" xfId="0" applyNumberFormat="1" applyFont="1" applyFill="1" applyBorder="1" applyAlignment="1">
      <alignment/>
    </xf>
    <xf numFmtId="165" fontId="5" fillId="0" borderId="4" xfId="0" applyNumberFormat="1" applyFont="1" applyBorder="1" applyAlignment="1">
      <alignment/>
    </xf>
    <xf numFmtId="164" fontId="4" fillId="0" borderId="2" xfId="0" applyFont="1" applyBorder="1" applyAlignment="1">
      <alignment/>
    </xf>
    <xf numFmtId="165" fontId="4" fillId="0" borderId="1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43.140625" style="1" customWidth="1"/>
    <col min="2" max="6" width="8.140625" style="1" customWidth="1"/>
    <col min="7" max="252" width="11.7109375" style="1" customWidth="1"/>
    <col min="253" max="16384" width="11.00390625" style="1" customWidth="1"/>
  </cols>
  <sheetData>
    <row r="1" spans="1:2" ht="12">
      <c r="A1" s="2" t="s">
        <v>0</v>
      </c>
      <c r="B1" s="3"/>
    </row>
    <row r="3" spans="1:2" ht="12">
      <c r="A3" s="4" t="s">
        <v>1</v>
      </c>
      <c r="B3" s="3"/>
    </row>
    <row r="4" spans="1:6" ht="12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ht="12">
      <c r="A5" s="8" t="s">
        <v>8</v>
      </c>
      <c r="B5" s="9">
        <v>484.2</v>
      </c>
      <c r="C5" s="10">
        <v>513.252</v>
      </c>
      <c r="D5" s="10">
        <v>550.206144</v>
      </c>
      <c r="E5" s="10">
        <v>616.781087424</v>
      </c>
      <c r="F5" s="10">
        <v>647.6201417952</v>
      </c>
    </row>
    <row r="6" spans="1:6" ht="12">
      <c r="A6" s="8" t="s">
        <v>9</v>
      </c>
      <c r="B6" s="9">
        <v>-267.45</v>
      </c>
      <c r="C6" s="10">
        <v>-295.301796</v>
      </c>
      <c r="D6" s="10">
        <v>-356.17836768</v>
      </c>
      <c r="E6" s="10">
        <v>-389.592487096723</v>
      </c>
      <c r="F6" s="10">
        <v>-412.957832302331</v>
      </c>
    </row>
    <row r="7" spans="1:6" ht="12">
      <c r="A7" s="8" t="s">
        <v>10</v>
      </c>
      <c r="B7" s="9">
        <v>216.75</v>
      </c>
      <c r="C7" s="10">
        <v>217.950204</v>
      </c>
      <c r="D7" s="10">
        <v>194.02777632</v>
      </c>
      <c r="E7" s="10">
        <v>227.188600327277</v>
      </c>
      <c r="F7" s="10">
        <v>234.662309492869</v>
      </c>
    </row>
    <row r="8" spans="1:6" ht="12">
      <c r="A8" s="11" t="s">
        <v>11</v>
      </c>
      <c r="B8" s="12">
        <v>71.7</v>
      </c>
      <c r="C8" s="13">
        <v>71.7</v>
      </c>
      <c r="D8" s="13">
        <v>71.7</v>
      </c>
      <c r="E8" s="13">
        <v>71.7</v>
      </c>
      <c r="F8" s="13">
        <v>71.7</v>
      </c>
    </row>
    <row r="9" spans="1:6" ht="12">
      <c r="A9" s="14" t="s">
        <v>12</v>
      </c>
      <c r="B9" s="15">
        <v>288.45</v>
      </c>
      <c r="C9" s="16">
        <v>289.650204</v>
      </c>
      <c r="D9" s="16">
        <v>265.72777632</v>
      </c>
      <c r="E9" s="16">
        <v>298.888600327277</v>
      </c>
      <c r="F9" s="16">
        <v>306.362309492869</v>
      </c>
    </row>
    <row r="10" spans="1:6" ht="12">
      <c r="A10" s="8"/>
      <c r="B10" s="9"/>
      <c r="C10" s="10"/>
      <c r="D10" s="10"/>
      <c r="E10" s="10"/>
      <c r="F10" s="10"/>
    </row>
    <row r="11" spans="1:6" ht="12">
      <c r="A11" s="8" t="s">
        <v>13</v>
      </c>
      <c r="B11" s="9">
        <v>196.65</v>
      </c>
      <c r="C11" s="9">
        <v>244.236461089792</v>
      </c>
      <c r="D11" s="9">
        <v>310.360352399957</v>
      </c>
      <c r="E11" s="9">
        <v>393.767334086846</v>
      </c>
      <c r="F11" s="9">
        <v>411.461629786024</v>
      </c>
    </row>
    <row r="12" spans="1:6" ht="12">
      <c r="A12" s="14"/>
      <c r="B12" s="15"/>
      <c r="C12" s="10"/>
      <c r="D12" s="10"/>
      <c r="E12" s="10"/>
      <c r="F12" s="10"/>
    </row>
    <row r="13" spans="1:6" ht="12">
      <c r="A13" s="11" t="s">
        <v>14</v>
      </c>
      <c r="B13" s="12">
        <v>88.8</v>
      </c>
      <c r="C13" s="13">
        <v>25.5</v>
      </c>
      <c r="D13" s="13">
        <v>50.94</v>
      </c>
      <c r="E13" s="13">
        <v>16.665</v>
      </c>
      <c r="F13" s="13">
        <v>31.185</v>
      </c>
    </row>
    <row r="14" spans="1:6" ht="12">
      <c r="A14" s="17" t="s">
        <v>15</v>
      </c>
      <c r="B14" s="18">
        <v>573.9</v>
      </c>
      <c r="C14" s="18">
        <v>559.386665089792</v>
      </c>
      <c r="D14" s="18">
        <v>627.028128719957</v>
      </c>
      <c r="E14" s="18">
        <v>709.320934414123</v>
      </c>
      <c r="F14" s="18">
        <v>749.008939278893</v>
      </c>
    </row>
    <row r="15" spans="1:6" ht="12">
      <c r="A15" s="19"/>
      <c r="B15" s="20"/>
      <c r="C15" s="21"/>
      <c r="D15" s="21"/>
      <c r="E15" s="21"/>
      <c r="F15" s="21"/>
    </row>
    <row r="16" spans="1:6" ht="12">
      <c r="A16" s="5" t="s">
        <v>16</v>
      </c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</row>
    <row r="17" spans="1:6" ht="12">
      <c r="A17" s="22"/>
      <c r="B17" s="23"/>
      <c r="C17" s="24"/>
      <c r="D17" s="25"/>
      <c r="E17" s="25"/>
      <c r="F17" s="25"/>
    </row>
    <row r="18" spans="1:6" ht="12">
      <c r="A18" s="26" t="s">
        <v>17</v>
      </c>
      <c r="B18" s="9">
        <v>305.55</v>
      </c>
      <c r="C18" s="9">
        <v>318.064550395801</v>
      </c>
      <c r="D18" s="9">
        <v>292.682057922406</v>
      </c>
      <c r="E18" s="9">
        <v>301.869720808431</v>
      </c>
      <c r="F18" s="9">
        <v>307.259593103024</v>
      </c>
    </row>
    <row r="19" spans="1:6" ht="12">
      <c r="A19" s="26" t="s">
        <v>18</v>
      </c>
      <c r="B19" s="9">
        <v>258.75</v>
      </c>
      <c r="C19" s="9">
        <v>217.95</v>
      </c>
      <c r="D19" s="9">
        <v>297.105</v>
      </c>
      <c r="E19" s="9">
        <v>348.825</v>
      </c>
      <c r="F19" s="9">
        <v>408</v>
      </c>
    </row>
    <row r="20" spans="1:6" ht="12">
      <c r="A20" s="26" t="s">
        <v>19</v>
      </c>
      <c r="B20" s="9">
        <v>9.6</v>
      </c>
      <c r="C20" s="9">
        <v>23.37</v>
      </c>
      <c r="D20" s="9">
        <v>37.245</v>
      </c>
      <c r="E20" s="9">
        <v>58.62</v>
      </c>
      <c r="F20" s="9">
        <v>33.75</v>
      </c>
    </row>
    <row r="21" spans="1:6" ht="12">
      <c r="A21" s="8"/>
      <c r="B21" s="9"/>
      <c r="C21" s="27"/>
      <c r="D21" s="10"/>
      <c r="E21" s="10"/>
      <c r="F21" s="10"/>
    </row>
    <row r="22" spans="1:6" ht="12">
      <c r="A22" s="17" t="s">
        <v>15</v>
      </c>
      <c r="B22" s="18">
        <v>573.9</v>
      </c>
      <c r="C22" s="18">
        <v>559.386665089792</v>
      </c>
      <c r="D22" s="18">
        <v>627.028128719957</v>
      </c>
      <c r="E22" s="18">
        <v>709.320934414123</v>
      </c>
      <c r="F22" s="18">
        <v>749.008939278893</v>
      </c>
    </row>
    <row r="25" spans="1:6" ht="12">
      <c r="A25" s="28" t="s">
        <v>20</v>
      </c>
      <c r="B25" s="29" t="s">
        <v>3</v>
      </c>
      <c r="C25" s="29" t="s">
        <v>4</v>
      </c>
      <c r="D25" s="29" t="s">
        <v>5</v>
      </c>
      <c r="E25" s="29" t="s">
        <v>6</v>
      </c>
      <c r="F25" s="30" t="s">
        <v>7</v>
      </c>
    </row>
    <row r="26" spans="1:6" ht="12">
      <c r="A26" s="14" t="s">
        <v>21</v>
      </c>
      <c r="B26" s="31">
        <v>1477.8</v>
      </c>
      <c r="C26" s="32">
        <v>1566.5</v>
      </c>
      <c r="D26" s="33">
        <v>1679.3</v>
      </c>
      <c r="E26" s="32">
        <v>1882.4</v>
      </c>
      <c r="F26" s="34">
        <v>1976.6</v>
      </c>
    </row>
    <row r="27" spans="1:6" ht="12">
      <c r="A27" s="35" t="s">
        <v>22</v>
      </c>
      <c r="B27" s="31"/>
      <c r="C27" s="36">
        <v>0.0600216538097172</v>
      </c>
      <c r="D27" s="36">
        <v>0.0720076603894031</v>
      </c>
      <c r="E27" s="36">
        <v>0.12094325016375901</v>
      </c>
      <c r="F27" s="36">
        <v>0.0500424989375265</v>
      </c>
    </row>
    <row r="28" spans="1:6" ht="12">
      <c r="A28" s="8" t="s">
        <v>23</v>
      </c>
      <c r="B28" s="37">
        <v>-1332.8</v>
      </c>
      <c r="C28" s="38">
        <v>-1408.1</v>
      </c>
      <c r="D28" s="39">
        <v>-1507.8</v>
      </c>
      <c r="E28" s="38">
        <v>-1727.9</v>
      </c>
      <c r="F28" s="40">
        <v>-1790</v>
      </c>
    </row>
    <row r="29" spans="1:6" ht="12">
      <c r="A29" s="14" t="s">
        <v>24</v>
      </c>
      <c r="B29" s="31">
        <v>145</v>
      </c>
      <c r="C29" s="32">
        <v>158.4</v>
      </c>
      <c r="D29" s="33">
        <v>171.5</v>
      </c>
      <c r="E29" s="32">
        <v>154.5</v>
      </c>
      <c r="F29" s="34">
        <v>186.6</v>
      </c>
    </row>
    <row r="30" spans="1:6" ht="12">
      <c r="A30" s="35" t="s">
        <v>25</v>
      </c>
      <c r="B30" s="41">
        <v>0.0981188252808228</v>
      </c>
      <c r="C30" s="41">
        <v>0.10111714012129</v>
      </c>
      <c r="D30" s="41">
        <v>0.10212588578574401</v>
      </c>
      <c r="E30" s="41">
        <v>0.0820760730981725</v>
      </c>
      <c r="F30" s="42">
        <v>0.0944045330365274</v>
      </c>
    </row>
    <row r="31" spans="1:6" ht="12">
      <c r="A31" s="8" t="s">
        <v>26</v>
      </c>
      <c r="B31" s="37">
        <v>-75.8</v>
      </c>
      <c r="C31" s="38">
        <v>-86.4</v>
      </c>
      <c r="D31" s="39">
        <v>-89.1</v>
      </c>
      <c r="E31" s="38">
        <v>-82.1</v>
      </c>
      <c r="F31" s="40">
        <v>-80.7</v>
      </c>
    </row>
    <row r="32" spans="1:6" ht="12">
      <c r="A32" s="35" t="s">
        <v>27</v>
      </c>
      <c r="B32" s="37"/>
      <c r="C32" s="36">
        <f>(-C31+B31)/(-B31)</f>
        <v>0.13984168865435367</v>
      </c>
      <c r="D32" s="36">
        <f>(-D31+C31)/(-C31)</f>
        <v>0.031249999999999865</v>
      </c>
      <c r="E32" s="36">
        <f>(-E31+D31)/(-D31)</f>
        <v>-0.07856341189674523</v>
      </c>
      <c r="F32" s="36">
        <f>(-F31+E31)/(-E31)</f>
        <v>-0.017052375152253246</v>
      </c>
    </row>
    <row r="33" spans="1:6" ht="12">
      <c r="A33" s="14" t="s">
        <v>28</v>
      </c>
      <c r="B33" s="31">
        <v>69.2</v>
      </c>
      <c r="C33" s="32">
        <v>72</v>
      </c>
      <c r="D33" s="33">
        <v>82.3</v>
      </c>
      <c r="E33" s="32">
        <v>72.5</v>
      </c>
      <c r="F33" s="34">
        <v>105.9</v>
      </c>
    </row>
    <row r="34" spans="1:6" ht="12">
      <c r="A34" s="8" t="s">
        <v>29</v>
      </c>
      <c r="B34" s="37">
        <v>-9.8</v>
      </c>
      <c r="C34" s="38">
        <v>-39.6</v>
      </c>
      <c r="D34" s="39">
        <v>-86.7</v>
      </c>
      <c r="E34" s="38">
        <v>-53.1</v>
      </c>
      <c r="F34" s="40">
        <v>-33.2</v>
      </c>
    </row>
    <row r="35" spans="1:6" ht="12">
      <c r="A35" s="14" t="s">
        <v>30</v>
      </c>
      <c r="B35" s="31">
        <v>59.3</v>
      </c>
      <c r="C35" s="32">
        <v>32.4</v>
      </c>
      <c r="D35" s="33">
        <v>-4.4</v>
      </c>
      <c r="E35" s="32">
        <v>19.4</v>
      </c>
      <c r="F35" s="34">
        <v>72.7</v>
      </c>
    </row>
    <row r="36" spans="1:6" ht="12">
      <c r="A36" s="8" t="s">
        <v>31</v>
      </c>
      <c r="B36" s="37">
        <v>-17.3</v>
      </c>
      <c r="C36" s="37">
        <v>-13.8</v>
      </c>
      <c r="D36" s="37">
        <v>-18.1</v>
      </c>
      <c r="E36" s="37">
        <v>-26.3</v>
      </c>
      <c r="F36" s="38">
        <v>-28.6</v>
      </c>
    </row>
    <row r="37" spans="1:6" ht="12">
      <c r="A37" s="8" t="s">
        <v>32</v>
      </c>
      <c r="B37" s="37">
        <v>1.4</v>
      </c>
      <c r="C37" s="38">
        <v>2.2</v>
      </c>
      <c r="D37" s="39">
        <v>0.6000000000000001</v>
      </c>
      <c r="E37" s="38">
        <v>1.8</v>
      </c>
      <c r="F37" s="38">
        <v>-1.5</v>
      </c>
    </row>
    <row r="38" spans="1:6" ht="12">
      <c r="A38" s="14" t="s">
        <v>33</v>
      </c>
      <c r="B38" s="31">
        <v>43.5</v>
      </c>
      <c r="C38" s="32">
        <v>20.9</v>
      </c>
      <c r="D38" s="33">
        <v>-21.8</v>
      </c>
      <c r="E38" s="32">
        <v>-5.1</v>
      </c>
      <c r="F38" s="32">
        <v>42.6</v>
      </c>
    </row>
    <row r="39" spans="1:6" ht="12">
      <c r="A39" s="14" t="s">
        <v>34</v>
      </c>
      <c r="B39" s="31">
        <v>0</v>
      </c>
      <c r="C39" s="31">
        <v>0</v>
      </c>
      <c r="D39" s="31">
        <v>-3.6</v>
      </c>
      <c r="E39" s="31">
        <v>20.5</v>
      </c>
      <c r="F39" s="32">
        <v>-33.6</v>
      </c>
    </row>
    <row r="40" spans="1:6" ht="12">
      <c r="A40" s="8" t="s">
        <v>35</v>
      </c>
      <c r="B40" s="37">
        <v>-17.4</v>
      </c>
      <c r="C40" s="37">
        <v>-8.3</v>
      </c>
      <c r="D40" s="37">
        <v>0</v>
      </c>
      <c r="E40" s="37">
        <v>-6.1</v>
      </c>
      <c r="F40" s="38">
        <v>-3.6</v>
      </c>
    </row>
    <row r="41" spans="1:6" ht="12">
      <c r="A41" s="43" t="s">
        <v>36</v>
      </c>
      <c r="B41" s="44">
        <v>26.1</v>
      </c>
      <c r="C41" s="45">
        <v>12.5</v>
      </c>
      <c r="D41" s="46">
        <v>-25.4</v>
      </c>
      <c r="E41" s="45">
        <v>9.2</v>
      </c>
      <c r="F41" s="47">
        <v>5.4</v>
      </c>
    </row>
    <row r="42" spans="1:6" ht="12">
      <c r="A42" s="1" t="s">
        <v>37</v>
      </c>
      <c r="B42" s="48">
        <f>-B36/(B19+B20)</f>
        <v>0.06446804546301471</v>
      </c>
      <c r="C42" s="48">
        <f>-C36/(C19+C20)</f>
        <v>0.05718547986076579</v>
      </c>
      <c r="D42" s="48">
        <f>-D36/(D19+D20)</f>
        <v>0.05413488858980111</v>
      </c>
      <c r="E42" s="48">
        <f>-E36/(E19+E20)</f>
        <v>0.06454858938016174</v>
      </c>
      <c r="F42" s="48">
        <f>-F36/(F19+F20)</f>
        <v>0.06474250141482739</v>
      </c>
    </row>
    <row r="43" spans="1:6" ht="12">
      <c r="A43" s="1" t="s">
        <v>38</v>
      </c>
      <c r="B43" s="48">
        <f>-B40/(B41-B40)</f>
        <v>0.39999999999999997</v>
      </c>
      <c r="C43" s="48">
        <f>-C40/(C41-C40)</f>
        <v>0.39903846153846156</v>
      </c>
      <c r="D43" s="48">
        <f>-D40/(D41-D40)</f>
        <v>0</v>
      </c>
      <c r="E43" s="48">
        <f>-E40/(E41-E40)</f>
        <v>0.39869281045751637</v>
      </c>
      <c r="F43" s="48">
        <f>-F40/(F41-F40)</f>
        <v>0.4</v>
      </c>
    </row>
  </sheetData>
  <sheetProtection selectLockedCells="1" selectUnlockedCells="1"/>
  <printOptions/>
  <pageMargins left="0.7875" right="0.7875" top="0.7875" bottom="1.0527777777777778" header="0.5118055555555555" footer="0.7875"/>
  <pageSetup firstPageNumber="1" useFirstPageNumber="1" horizontalDpi="300" verticalDpi="300" orientation="portrait" paperSize="9"/>
  <headerFooter alignWithMargins="0">
    <oddFooter>&amp;L(c) C. Thibierge - 2011&amp;C&amp;"Times New Roman,Normal"&amp;12Page &amp;P&amp;Rwww.thibierge.net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4">
      <selection activeCell="A54" sqref="A54"/>
    </sheetView>
  </sheetViews>
  <sheetFormatPr defaultColWidth="12.57421875" defaultRowHeight="12.75"/>
  <cols>
    <col min="1" max="1" width="36.8515625" style="1" customWidth="1"/>
    <col min="2" max="2" width="8.140625" style="1" customWidth="1"/>
    <col min="3" max="7" width="7.57421875" style="1" customWidth="1"/>
    <col min="8" max="8" width="12.28125" style="1" customWidth="1"/>
    <col min="9" max="11" width="7.140625" style="1" customWidth="1"/>
    <col min="12" max="16384" width="11.7109375" style="1" customWidth="1"/>
  </cols>
  <sheetData>
    <row r="1" spans="1:8" ht="12">
      <c r="A1" s="28" t="s">
        <v>39</v>
      </c>
      <c r="B1" s="49" t="str">
        <f>ComptesPrévisionnels!F25</f>
        <v>N</v>
      </c>
      <c r="C1" s="50" t="str">
        <f>ComptesPrévisionnels!G25</f>
        <v>N+1</v>
      </c>
      <c r="D1" s="50" t="str">
        <f>ComptesPrévisionnels!H25</f>
        <v>N+2</v>
      </c>
      <c r="E1" s="50" t="str">
        <f>ComptesPrévisionnels!I25</f>
        <v>N+3</v>
      </c>
      <c r="F1" s="50" t="str">
        <f>ComptesPrévisionnels!J25</f>
        <v>N+4</v>
      </c>
      <c r="G1" s="51" t="str">
        <f>ComptesPrévisionnels!K25</f>
        <v>N+5</v>
      </c>
      <c r="H1" s="52" t="s">
        <v>40</v>
      </c>
    </row>
    <row r="2" spans="1:8" ht="12">
      <c r="A2" s="14" t="s">
        <v>21</v>
      </c>
      <c r="B2" s="53">
        <f>ComptesPrévisionnels!F26</f>
        <v>1976.6</v>
      </c>
      <c r="C2" s="34">
        <f>ComptesPrévisionnels!G26</f>
        <v>2055.6639999999998</v>
      </c>
      <c r="D2" s="34">
        <f>ComptesPrévisionnels!H26</f>
        <v>2137.89056</v>
      </c>
      <c r="E2" s="34">
        <f>ComptesPrévisionnels!I26</f>
        <v>2223.4061824</v>
      </c>
      <c r="F2" s="34">
        <f>ComptesPrévisionnels!J26</f>
        <v>2312.342429696</v>
      </c>
      <c r="G2" s="34">
        <f>ComptesPrévisionnels!K26</f>
        <v>2404.8361268838403</v>
      </c>
      <c r="H2" s="54"/>
    </row>
    <row r="3" spans="1:8" ht="12">
      <c r="A3" s="35" t="s">
        <v>22</v>
      </c>
      <c r="B3" s="55">
        <f>ComptesPrévisionnels!F27</f>
        <v>0.0500424989375265</v>
      </c>
      <c r="C3" s="56">
        <f>ComptesPrévisionnels!G27</f>
        <v>0.04</v>
      </c>
      <c r="D3" s="56">
        <f>ComptesPrévisionnels!H27</f>
        <v>0.04</v>
      </c>
      <c r="E3" s="56">
        <f>ComptesPrévisionnels!I27</f>
        <v>0.04</v>
      </c>
      <c r="F3" s="56">
        <f>ComptesPrévisionnels!J27</f>
        <v>0.04</v>
      </c>
      <c r="G3" s="56">
        <f>ComptesPrévisionnels!K27</f>
        <v>0.04</v>
      </c>
      <c r="H3" s="54" t="s">
        <v>41</v>
      </c>
    </row>
    <row r="4" spans="1:8" ht="12">
      <c r="A4" s="8" t="s">
        <v>23</v>
      </c>
      <c r="B4" s="57">
        <f>ComptesPrévisionnels!F28</f>
        <v>-1790</v>
      </c>
      <c r="C4" s="58"/>
      <c r="D4" s="58"/>
      <c r="E4" s="58"/>
      <c r="F4" s="58"/>
      <c r="G4" s="58"/>
      <c r="H4" s="54"/>
    </row>
    <row r="5" spans="1:8" ht="12">
      <c r="A5" s="14" t="s">
        <v>24</v>
      </c>
      <c r="B5" s="53">
        <f>ComptesPrévisionnels!F29</f>
        <v>186.6</v>
      </c>
      <c r="C5" s="34">
        <f>ComptesPrévisionnels!G29</f>
        <v>209.677728</v>
      </c>
      <c r="D5" s="34">
        <f>ComptesPrévisionnels!H29</f>
        <v>218.06483712</v>
      </c>
      <c r="E5" s="34">
        <f>ComptesPrévisionnels!I29</f>
        <v>226.78743060480002</v>
      </c>
      <c r="F5" s="34">
        <f>ComptesPrévisionnels!J29</f>
        <v>235.85892782899202</v>
      </c>
      <c r="G5" s="34">
        <f>ComptesPrévisionnels!K29</f>
        <v>245.29328494215173</v>
      </c>
      <c r="H5" s="54"/>
    </row>
    <row r="6" spans="1:8" ht="12">
      <c r="A6" s="35" t="s">
        <v>25</v>
      </c>
      <c r="B6" s="59">
        <f>ComptesPrévisionnels!F30</f>
        <v>0.0944045330365274</v>
      </c>
      <c r="C6" s="60">
        <f>ComptesPrévisionnels!G30</f>
        <v>0.10200000000000001</v>
      </c>
      <c r="D6" s="60">
        <f>ComptesPrévisionnels!H30</f>
        <v>0.10200000000000001</v>
      </c>
      <c r="E6" s="60">
        <f>ComptesPrévisionnels!I30</f>
        <v>0.10200000000000001</v>
      </c>
      <c r="F6" s="60">
        <f>ComptesPrévisionnels!J30</f>
        <v>0.10200000000000001</v>
      </c>
      <c r="G6" s="60">
        <f>ComptesPrévisionnels!K30</f>
        <v>0.10200000000000001</v>
      </c>
      <c r="H6" s="54" t="s">
        <v>42</v>
      </c>
    </row>
    <row r="7" spans="1:8" ht="12">
      <c r="A7" s="8" t="s">
        <v>26</v>
      </c>
      <c r="B7" s="57">
        <f>ComptesPrévisionnels!F31</f>
        <v>-80.7</v>
      </c>
      <c r="C7" s="61">
        <f>ComptesPrévisionnels!G31</f>
        <v>-80.7</v>
      </c>
      <c r="D7" s="61">
        <f>ComptesPrévisionnels!H31</f>
        <v>-80.7</v>
      </c>
      <c r="E7" s="61">
        <f>ComptesPrévisionnels!I31</f>
        <v>-80.7</v>
      </c>
      <c r="F7" s="61">
        <f>ComptesPrévisionnels!J31</f>
        <v>-80.7</v>
      </c>
      <c r="G7" s="61">
        <f>ComptesPrévisionnels!K31</f>
        <v>-80.7</v>
      </c>
      <c r="H7" s="54" t="s">
        <v>43</v>
      </c>
    </row>
    <row r="8" spans="1:8" ht="12">
      <c r="A8" s="35" t="s">
        <v>27</v>
      </c>
      <c r="B8" s="55">
        <f>ComptesPrévisionnels!F32</f>
        <v>-0.017052375152253246</v>
      </c>
      <c r="C8" s="36">
        <f>ComptesPrévisionnels!G32</f>
        <v>0</v>
      </c>
      <c r="D8" s="36">
        <f>ComptesPrévisionnels!H32</f>
        <v>0</v>
      </c>
      <c r="E8" s="36">
        <f>ComptesPrévisionnels!I32</f>
        <v>0</v>
      </c>
      <c r="F8" s="36">
        <f>ComptesPrévisionnels!J32</f>
        <v>0</v>
      </c>
      <c r="G8" s="36">
        <f>ComptesPrévisionnels!K32</f>
        <v>0</v>
      </c>
      <c r="H8" s="54"/>
    </row>
    <row r="9" spans="1:8" ht="12">
      <c r="A9" s="14" t="s">
        <v>28</v>
      </c>
      <c r="B9" s="53">
        <f>ComptesPrévisionnels!F33</f>
        <v>105.9</v>
      </c>
      <c r="C9" s="34">
        <f>ComptesPrévisionnels!G33</f>
        <v>128.977728</v>
      </c>
      <c r="D9" s="34">
        <f>ComptesPrévisionnels!H33</f>
        <v>137.36483712</v>
      </c>
      <c r="E9" s="34">
        <f>ComptesPrévisionnels!I33</f>
        <v>146.08743060480003</v>
      </c>
      <c r="F9" s="34">
        <f>ComptesPrévisionnels!J33</f>
        <v>155.15892782899203</v>
      </c>
      <c r="G9" s="34">
        <f>ComptesPrévisionnels!K33</f>
        <v>164.59328494215174</v>
      </c>
      <c r="H9" s="54"/>
    </row>
    <row r="10" spans="1:8" ht="12">
      <c r="A10" s="8" t="s">
        <v>29</v>
      </c>
      <c r="B10" s="57">
        <f>ComptesPrévisionnels!F34</f>
        <v>-33.2</v>
      </c>
      <c r="C10" s="61">
        <f>ComptesPrévisionnels!G34</f>
        <v>-35</v>
      </c>
      <c r="D10" s="61">
        <f>ComptesPrévisionnels!H34</f>
        <v>-40</v>
      </c>
      <c r="E10" s="61">
        <f>ComptesPrévisionnels!I34</f>
        <v>-45</v>
      </c>
      <c r="F10" s="61">
        <f>ComptesPrévisionnels!J34</f>
        <v>-45</v>
      </c>
      <c r="G10" s="61">
        <f>ComptesPrévisionnels!K34</f>
        <v>-45</v>
      </c>
      <c r="H10" s="54" t="s">
        <v>44</v>
      </c>
    </row>
    <row r="11" spans="1:8" ht="12">
      <c r="A11" s="14" t="s">
        <v>30</v>
      </c>
      <c r="B11" s="53">
        <f>ComptesPrévisionnels!F35</f>
        <v>72.7</v>
      </c>
      <c r="C11" s="34">
        <f>ComptesPrévisionnels!G35</f>
        <v>93.97772800000001</v>
      </c>
      <c r="D11" s="34">
        <f>ComptesPrévisionnels!H35</f>
        <v>97.36483712</v>
      </c>
      <c r="E11" s="34">
        <f>ComptesPrévisionnels!I35</f>
        <v>101.08743060480003</v>
      </c>
      <c r="F11" s="34">
        <f>ComptesPrévisionnels!J35</f>
        <v>110.15892782899203</v>
      </c>
      <c r="G11" s="34">
        <f>ComptesPrévisionnels!K35</f>
        <v>119.59328494215174</v>
      </c>
      <c r="H11" s="54"/>
    </row>
    <row r="12" spans="1:8" ht="12">
      <c r="A12" s="8" t="s">
        <v>31</v>
      </c>
      <c r="B12" s="57">
        <f>ComptesPrévisionnels!F36</f>
        <v>-28.6</v>
      </c>
      <c r="C12" s="38">
        <f>ComptesPrévisionnels!G36</f>
        <v>-31.575</v>
      </c>
      <c r="D12" s="38">
        <f>ComptesPrévisionnels!H36</f>
        <v>-28.724999999999998</v>
      </c>
      <c r="E12" s="38">
        <f>ComptesPrévisionnels!I36</f>
        <v>-27.224999999999998</v>
      </c>
      <c r="F12" s="38">
        <f>ComptesPrévisionnels!J36</f>
        <v>-24.974999999999998</v>
      </c>
      <c r="G12" s="38">
        <f>ComptesPrévisionnels!K36</f>
        <v>-21.974999999999998</v>
      </c>
      <c r="H12" s="54" t="s">
        <v>45</v>
      </c>
    </row>
    <row r="13" spans="1:8" ht="12">
      <c r="A13" s="8" t="s">
        <v>32</v>
      </c>
      <c r="B13" s="57">
        <f>ComptesPrévisionnels!F37</f>
        <v>-1.5</v>
      </c>
      <c r="C13" s="38">
        <f>ComptesPrévisionnels!G37</f>
        <v>0</v>
      </c>
      <c r="D13" s="38">
        <f>ComptesPrévisionnels!H37</f>
        <v>0</v>
      </c>
      <c r="E13" s="38">
        <f>ComptesPrévisionnels!I37</f>
        <v>0</v>
      </c>
      <c r="F13" s="38">
        <f>ComptesPrévisionnels!J37</f>
        <v>0</v>
      </c>
      <c r="G13" s="38">
        <f>ComptesPrévisionnels!K37</f>
        <v>0</v>
      </c>
      <c r="H13" s="54" t="s">
        <v>46</v>
      </c>
    </row>
    <row r="14" spans="1:8" ht="12">
      <c r="A14" s="14" t="s">
        <v>33</v>
      </c>
      <c r="B14" s="53">
        <f>ComptesPrévisionnels!F38</f>
        <v>42.6</v>
      </c>
      <c r="C14" s="32">
        <f>ComptesPrévisionnels!G38</f>
        <v>62.40272800000001</v>
      </c>
      <c r="D14" s="32">
        <f>ComptesPrévisionnels!H38</f>
        <v>68.63983712000001</v>
      </c>
      <c r="E14" s="32">
        <f>ComptesPrévisionnels!I38</f>
        <v>73.86243060480004</v>
      </c>
      <c r="F14" s="32">
        <f>ComptesPrévisionnels!J38</f>
        <v>85.18392782899204</v>
      </c>
      <c r="G14" s="32">
        <f>ComptesPrévisionnels!K38</f>
        <v>97.61828494215175</v>
      </c>
      <c r="H14" s="54"/>
    </row>
    <row r="15" spans="1:8" ht="12">
      <c r="A15" s="14" t="s">
        <v>34</v>
      </c>
      <c r="B15" s="53">
        <f>ComptesPrévisionnels!F39</f>
        <v>-33.6</v>
      </c>
      <c r="C15" s="32">
        <f>ComptesPrévisionnels!G39</f>
        <v>0</v>
      </c>
      <c r="D15" s="32">
        <f>ComptesPrévisionnels!H39</f>
        <v>0</v>
      </c>
      <c r="E15" s="32">
        <f>ComptesPrévisionnels!I39</f>
        <v>0</v>
      </c>
      <c r="F15" s="32">
        <f>ComptesPrévisionnels!J39</f>
        <v>0</v>
      </c>
      <c r="G15" s="32">
        <f>ComptesPrévisionnels!K39</f>
        <v>0</v>
      </c>
      <c r="H15" s="54" t="s">
        <v>47</v>
      </c>
    </row>
    <row r="16" spans="1:8" ht="12">
      <c r="A16" s="8" t="s">
        <v>35</v>
      </c>
      <c r="B16" s="57">
        <f>ComptesPrévisionnels!F40</f>
        <v>-3.6</v>
      </c>
      <c r="C16" s="38">
        <f>ComptesPrévisionnels!G40</f>
        <v>-24.961091200000006</v>
      </c>
      <c r="D16" s="38">
        <f>ComptesPrévisionnels!H40</f>
        <v>-27.455934848000005</v>
      </c>
      <c r="E16" s="38">
        <f>ComptesPrévisionnels!I40</f>
        <v>-29.544972241920018</v>
      </c>
      <c r="F16" s="38">
        <f>ComptesPrévisionnels!J40</f>
        <v>-34.073571131596815</v>
      </c>
      <c r="G16" s="38">
        <f>ComptesPrévisionnels!K40</f>
        <v>-39.0473139768607</v>
      </c>
      <c r="H16" s="54" t="s">
        <v>48</v>
      </c>
    </row>
    <row r="17" spans="1:8" ht="12">
      <c r="A17" s="43" t="s">
        <v>36</v>
      </c>
      <c r="B17" s="62">
        <f>ComptesPrévisionnels!F41</f>
        <v>5.4</v>
      </c>
      <c r="C17" s="47">
        <f>ComptesPrévisionnels!G41</f>
        <v>37.441636800000005</v>
      </c>
      <c r="D17" s="47">
        <f>ComptesPrévisionnels!H41</f>
        <v>41.183902272000005</v>
      </c>
      <c r="E17" s="47">
        <f>ComptesPrévisionnels!I41</f>
        <v>44.31745836288002</v>
      </c>
      <c r="F17" s="47">
        <f>ComptesPrévisionnels!J41</f>
        <v>51.110356697395225</v>
      </c>
      <c r="G17" s="47">
        <f>ComptesPrévisionnels!K41</f>
        <v>58.570970965291046</v>
      </c>
      <c r="H17" s="63"/>
    </row>
    <row r="18" spans="2:11" ht="12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">
      <c r="A19" s="2" t="s">
        <v>49</v>
      </c>
      <c r="B19" s="64"/>
      <c r="C19" s="65" t="str">
        <f>C1</f>
        <v>N+1</v>
      </c>
      <c r="D19" s="65" t="str">
        <f>D1</f>
        <v>N+2</v>
      </c>
      <c r="E19" s="65" t="str">
        <f>E1</f>
        <v>N+3</v>
      </c>
      <c r="F19" s="65" t="str">
        <f>F1</f>
        <v>N+4</v>
      </c>
      <c r="G19" s="65" t="str">
        <f>G1</f>
        <v>N+5</v>
      </c>
      <c r="H19" s="48"/>
      <c r="I19" s="48"/>
      <c r="J19" s="48"/>
      <c r="K19" s="48"/>
    </row>
    <row r="20" spans="1:11" ht="12">
      <c r="A20" s="66" t="s">
        <v>36</v>
      </c>
      <c r="B20" s="66"/>
      <c r="C20" s="67">
        <f>C17</f>
        <v>37.441636800000005</v>
      </c>
      <c r="D20" s="67">
        <f>D17</f>
        <v>41.183902272000005</v>
      </c>
      <c r="E20" s="67">
        <f>E17</f>
        <v>44.31745836288002</v>
      </c>
      <c r="F20" s="67">
        <f>F17</f>
        <v>51.110356697395225</v>
      </c>
      <c r="G20" s="67">
        <f>G17</f>
        <v>58.570970965291046</v>
      </c>
      <c r="H20" s="66"/>
      <c r="I20" s="48"/>
      <c r="J20" s="48"/>
      <c r="K20" s="48"/>
    </row>
    <row r="21" spans="1:11" ht="12">
      <c r="A21" s="66" t="s">
        <v>50</v>
      </c>
      <c r="B21" s="66"/>
      <c r="C21" s="68">
        <f>-C10</f>
        <v>35</v>
      </c>
      <c r="D21" s="68">
        <f>-D10</f>
        <v>40</v>
      </c>
      <c r="E21" s="68">
        <f>-E10</f>
        <v>45</v>
      </c>
      <c r="F21" s="68">
        <f>-F10</f>
        <v>45</v>
      </c>
      <c r="G21" s="68">
        <f>-G10</f>
        <v>45</v>
      </c>
      <c r="H21" s="66"/>
      <c r="I21" s="48"/>
      <c r="J21" s="48"/>
      <c r="K21" s="48"/>
    </row>
    <row r="22" spans="1:11" ht="12">
      <c r="A22" s="66" t="s">
        <v>51</v>
      </c>
      <c r="B22" s="66"/>
      <c r="C22" s="67">
        <f>C20+C21</f>
        <v>72.4416368</v>
      </c>
      <c r="D22" s="67">
        <f>D20+D21</f>
        <v>81.18390227200001</v>
      </c>
      <c r="E22" s="67">
        <f>E20+E21</f>
        <v>89.31745836288002</v>
      </c>
      <c r="F22" s="67">
        <f>F20+F21</f>
        <v>96.11035669739522</v>
      </c>
      <c r="G22" s="67">
        <f>G20+G21</f>
        <v>103.57097096529105</v>
      </c>
      <c r="H22" s="66"/>
      <c r="I22" s="48"/>
      <c r="J22" s="48"/>
      <c r="K22" s="48"/>
    </row>
    <row r="23" spans="1:11" ht="12">
      <c r="A23" s="66"/>
      <c r="B23" s="66"/>
      <c r="C23" s="67"/>
      <c r="D23" s="67"/>
      <c r="E23" s="67"/>
      <c r="F23" s="67"/>
      <c r="G23" s="67"/>
      <c r="H23" s="66"/>
      <c r="I23" s="48"/>
      <c r="J23" s="48"/>
      <c r="K23" s="48"/>
    </row>
    <row r="24" spans="1:11" ht="12">
      <c r="A24" s="66"/>
      <c r="B24" s="65" t="str">
        <f>B1</f>
        <v>N</v>
      </c>
      <c r="C24" s="65" t="str">
        <f>C1</f>
        <v>N+1</v>
      </c>
      <c r="D24" s="65" t="str">
        <f>D1</f>
        <v>N+2</v>
      </c>
      <c r="E24" s="65" t="str">
        <f>E1</f>
        <v>N+3</v>
      </c>
      <c r="F24" s="65" t="str">
        <f>F1</f>
        <v>N+4</v>
      </c>
      <c r="G24" s="65" t="str">
        <f>G1</f>
        <v>N+5</v>
      </c>
      <c r="H24" s="66"/>
      <c r="I24" s="48"/>
      <c r="J24" s="48"/>
      <c r="K24" s="48"/>
    </row>
    <row r="25" spans="1:11" ht="12">
      <c r="A25" s="66" t="s">
        <v>22</v>
      </c>
      <c r="B25" s="65"/>
      <c r="C25" s="69">
        <f>C3</f>
        <v>0.04</v>
      </c>
      <c r="D25" s="69">
        <f>D3</f>
        <v>0.04</v>
      </c>
      <c r="E25" s="69">
        <f>E3</f>
        <v>0.04</v>
      </c>
      <c r="F25" s="69">
        <f>F3</f>
        <v>0.04</v>
      </c>
      <c r="G25" s="69">
        <f>G3</f>
        <v>0.04</v>
      </c>
      <c r="H25" s="66"/>
      <c r="I25" s="48"/>
      <c r="J25" s="48"/>
      <c r="K25" s="48"/>
    </row>
    <row r="26" spans="1:11" ht="12">
      <c r="A26" s="66" t="s">
        <v>13</v>
      </c>
      <c r="B26" s="66">
        <f>ComptesPrévisionnels!F11</f>
        <v>411.461629786024</v>
      </c>
      <c r="C26" s="66">
        <f>B26*(1+ComptesPrévisionnels!G27)</f>
        <v>427.92009497746494</v>
      </c>
      <c r="D26" s="66">
        <f>D28*D2/365</f>
        <v>445.1498152328767</v>
      </c>
      <c r="E26" s="66">
        <f>E28*E2/365</f>
        <v>462.95580784219175</v>
      </c>
      <c r="F26" s="66">
        <f>F28*F2/365</f>
        <v>481.4740401558795</v>
      </c>
      <c r="G26" s="66">
        <f>G28*G2/365</f>
        <v>500.73300176211467</v>
      </c>
      <c r="H26" s="66"/>
      <c r="I26" s="48"/>
      <c r="J26" s="48"/>
      <c r="K26" s="48"/>
    </row>
    <row r="27" spans="1:11" ht="12">
      <c r="A27" s="66" t="s">
        <v>52</v>
      </c>
      <c r="B27" s="66"/>
      <c r="C27" s="70">
        <f>(C26-B26)</f>
        <v>16.45846519144095</v>
      </c>
      <c r="D27" s="70">
        <f>(D26-C26)</f>
        <v>17.229720255411735</v>
      </c>
      <c r="E27" s="70">
        <f>(E26-D26)</f>
        <v>17.80599260931507</v>
      </c>
      <c r="F27" s="70">
        <f>(F26-E26)</f>
        <v>18.518232313687747</v>
      </c>
      <c r="G27" s="70">
        <f>(G26-F26)</f>
        <v>19.258961606235175</v>
      </c>
      <c r="H27" s="66"/>
      <c r="I27" s="48"/>
      <c r="J27" s="48"/>
      <c r="K27" s="48"/>
    </row>
    <row r="28" spans="1:11" ht="12">
      <c r="A28" s="66" t="s">
        <v>53</v>
      </c>
      <c r="B28" s="66"/>
      <c r="C28" s="66">
        <f>C26*365/C2</f>
        <v>75.9807218819684</v>
      </c>
      <c r="D28" s="66">
        <v>76</v>
      </c>
      <c r="E28" s="66">
        <f>D28</f>
        <v>76</v>
      </c>
      <c r="F28" s="66">
        <f>E28</f>
        <v>76</v>
      </c>
      <c r="G28" s="66">
        <f>F28</f>
        <v>76</v>
      </c>
      <c r="H28" s="66"/>
      <c r="I28" s="48"/>
      <c r="J28" s="48"/>
      <c r="K28" s="48"/>
    </row>
    <row r="29" spans="1:11" ht="12">
      <c r="A29" s="66"/>
      <c r="B29" s="66"/>
      <c r="C29" s="66"/>
      <c r="D29" s="66"/>
      <c r="E29" s="66"/>
      <c r="F29" s="66"/>
      <c r="G29" s="66"/>
      <c r="H29" s="66"/>
      <c r="I29" s="48"/>
      <c r="J29" s="48"/>
      <c r="K29" s="48"/>
    </row>
    <row r="30" spans="1:11" ht="12">
      <c r="A30" s="2"/>
      <c r="B30" s="65" t="str">
        <f>C19</f>
        <v>N+1</v>
      </c>
      <c r="C30" s="65" t="str">
        <f>D19</f>
        <v>N+2</v>
      </c>
      <c r="D30" s="65" t="str">
        <f>E19</f>
        <v>N+3</v>
      </c>
      <c r="E30" s="65" t="str">
        <f>F19</f>
        <v>N+4</v>
      </c>
      <c r="F30" s="65" t="str">
        <f>G19</f>
        <v>N+5</v>
      </c>
      <c r="H30" s="66"/>
      <c r="I30" s="48"/>
      <c r="J30" s="48"/>
      <c r="K30" s="48"/>
    </row>
    <row r="31" spans="1:11" ht="12">
      <c r="A31" s="66" t="s">
        <v>54</v>
      </c>
      <c r="B31" s="66">
        <f>C22</f>
        <v>72.4416368</v>
      </c>
      <c r="C31" s="66">
        <f>D22</f>
        <v>81.18390227200001</v>
      </c>
      <c r="D31" s="66">
        <f>E22</f>
        <v>89.31745836288002</v>
      </c>
      <c r="E31" s="66">
        <f>F22</f>
        <v>96.11035669739522</v>
      </c>
      <c r="F31" s="66">
        <f>G22</f>
        <v>103.57097096529105</v>
      </c>
      <c r="H31" s="66"/>
      <c r="I31" s="48"/>
      <c r="J31" s="48"/>
      <c r="K31" s="48"/>
    </row>
    <row r="32" spans="1:11" ht="12">
      <c r="A32" s="66" t="s">
        <v>55</v>
      </c>
      <c r="B32" s="66">
        <f>-C27</f>
        <v>-16.45846519144095</v>
      </c>
      <c r="C32" s="66">
        <f>-D27</f>
        <v>-17.229720255411735</v>
      </c>
      <c r="D32" s="66">
        <f>-E27</f>
        <v>-17.80599260931507</v>
      </c>
      <c r="E32" s="66">
        <f>-F27</f>
        <v>-18.518232313687747</v>
      </c>
      <c r="F32" s="66">
        <f>-G27</f>
        <v>-19.258961606235175</v>
      </c>
      <c r="H32" s="66"/>
      <c r="I32" s="48"/>
      <c r="J32" s="48"/>
      <c r="K32" s="48"/>
    </row>
    <row r="33" spans="1:11" ht="12">
      <c r="A33" s="66" t="s">
        <v>56</v>
      </c>
      <c r="B33" s="71">
        <f>-45</f>
        <v>-45</v>
      </c>
      <c r="C33" s="71">
        <f>-45</f>
        <v>-45</v>
      </c>
      <c r="D33" s="71">
        <f>-45</f>
        <v>-45</v>
      </c>
      <c r="E33" s="71">
        <f>-45</f>
        <v>-45</v>
      </c>
      <c r="F33" s="71">
        <f>-45</f>
        <v>-45</v>
      </c>
      <c r="H33" s="66"/>
      <c r="I33" s="48"/>
      <c r="J33" s="48"/>
      <c r="K33" s="48"/>
    </row>
    <row r="34" spans="1:11" ht="12">
      <c r="A34" s="72" t="s">
        <v>57</v>
      </c>
      <c r="B34" s="72">
        <f>B31+B32+B33</f>
        <v>10.983171608559047</v>
      </c>
      <c r="C34" s="72">
        <f>C31+C32+C33</f>
        <v>18.954182016588277</v>
      </c>
      <c r="D34" s="72">
        <f>D31+D32+D33</f>
        <v>26.51146575356495</v>
      </c>
      <c r="E34" s="72">
        <f>E31+E32+E33</f>
        <v>32.59212438370747</v>
      </c>
      <c r="F34" s="72">
        <f>F31+F32+F33</f>
        <v>39.31200935905588</v>
      </c>
      <c r="H34" s="66"/>
      <c r="I34" s="48"/>
      <c r="J34" s="48"/>
      <c r="K34" s="48"/>
    </row>
    <row r="35" spans="1:11" ht="12">
      <c r="A35" s="66"/>
      <c r="B35" s="66"/>
      <c r="C35" s="66"/>
      <c r="D35" s="66"/>
      <c r="E35" s="66"/>
      <c r="F35" s="66"/>
      <c r="H35" s="66"/>
      <c r="I35" s="48"/>
      <c r="J35" s="48"/>
      <c r="K35" s="48"/>
    </row>
    <row r="36" spans="1:11" ht="12">
      <c r="A36" s="2"/>
      <c r="B36" s="65" t="str">
        <f>B30</f>
        <v>N+1</v>
      </c>
      <c r="C36" s="65" t="str">
        <f>C30</f>
        <v>N+2</v>
      </c>
      <c r="D36" s="65" t="str">
        <f>D30</f>
        <v>N+3</v>
      </c>
      <c r="E36" s="65" t="str">
        <f>E30</f>
        <v>N+4</v>
      </c>
      <c r="F36" s="65" t="str">
        <f>F30</f>
        <v>N+5</v>
      </c>
      <c r="H36" s="66"/>
      <c r="I36" s="48"/>
      <c r="J36" s="48"/>
      <c r="K36" s="48"/>
    </row>
    <row r="37" spans="1:11" ht="12">
      <c r="A37" s="66" t="str">
        <f>A11</f>
        <v>Résultat avant intérêts et impôts</v>
      </c>
      <c r="B37" s="66">
        <f>C11</f>
        <v>93.97772800000001</v>
      </c>
      <c r="C37" s="66">
        <f>D11</f>
        <v>97.36483712</v>
      </c>
      <c r="D37" s="66">
        <f>E11</f>
        <v>101.08743060480003</v>
      </c>
      <c r="E37" s="66">
        <f>F11</f>
        <v>110.15892782899203</v>
      </c>
      <c r="F37" s="66">
        <f>G11</f>
        <v>119.59328494215174</v>
      </c>
      <c r="H37" s="66"/>
      <c r="I37" s="48"/>
      <c r="J37" s="48"/>
      <c r="K37" s="48"/>
    </row>
    <row r="38" spans="1:11" ht="12">
      <c r="A38" s="66" t="s">
        <v>58</v>
      </c>
      <c r="B38" s="71">
        <f>-ComptesPrévisionnels!G43*B37</f>
        <v>-37.59109120000001</v>
      </c>
      <c r="C38" s="71">
        <f>-ComptesPrévisionnels!H43*C37</f>
        <v>-38.94593484800001</v>
      </c>
      <c r="D38" s="71">
        <f>-ComptesPrévisionnels!I43*D37</f>
        <v>-40.434972241920015</v>
      </c>
      <c r="E38" s="71">
        <f>-ComptesPrévisionnels!J43*E37</f>
        <v>-44.06357113159682</v>
      </c>
      <c r="F38" s="71">
        <f>-ComptesPrévisionnels!K43*F37</f>
        <v>-47.8373139768607</v>
      </c>
      <c r="H38" s="66"/>
      <c r="I38" s="48"/>
      <c r="J38" s="48"/>
      <c r="K38" s="48"/>
    </row>
    <row r="39" spans="1:11" ht="12">
      <c r="A39" s="66" t="s">
        <v>59</v>
      </c>
      <c r="B39" s="66">
        <f>B37+B38</f>
        <v>56.386636800000005</v>
      </c>
      <c r="C39" s="66">
        <f>C37+C38</f>
        <v>58.418902272</v>
      </c>
      <c r="D39" s="66">
        <f>D37+D38</f>
        <v>60.65245836288002</v>
      </c>
      <c r="E39" s="66">
        <f>E37+E38</f>
        <v>66.09535669739522</v>
      </c>
      <c r="F39" s="66">
        <f>F37+F38</f>
        <v>71.75597096529104</v>
      </c>
      <c r="H39" s="66"/>
      <c r="I39" s="48"/>
      <c r="J39" s="48"/>
      <c r="K39" s="48"/>
    </row>
    <row r="40" spans="1:11" ht="12">
      <c r="A40" s="66" t="s">
        <v>50</v>
      </c>
      <c r="B40" s="71">
        <f>C21</f>
        <v>35</v>
      </c>
      <c r="C40" s="71">
        <f>D21</f>
        <v>40</v>
      </c>
      <c r="D40" s="71">
        <f>E21</f>
        <v>45</v>
      </c>
      <c r="E40" s="71">
        <f>F21</f>
        <v>45</v>
      </c>
      <c r="F40" s="71">
        <f>G21</f>
        <v>45</v>
      </c>
      <c r="H40" s="66"/>
      <c r="I40" s="48"/>
      <c r="J40" s="48"/>
      <c r="K40" s="48"/>
    </row>
    <row r="41" spans="1:11" ht="12">
      <c r="A41" s="66" t="s">
        <v>60</v>
      </c>
      <c r="B41" s="66">
        <f>B39+B40</f>
        <v>91.3866368</v>
      </c>
      <c r="C41" s="66">
        <f>C39+C40</f>
        <v>98.418902272</v>
      </c>
      <c r="D41" s="66">
        <f>D39+D40</f>
        <v>105.65245836288003</v>
      </c>
      <c r="E41" s="66">
        <f>E39+E40</f>
        <v>111.09535669739522</v>
      </c>
      <c r="F41" s="66">
        <f>F39+F40</f>
        <v>116.75597096529104</v>
      </c>
      <c r="H41" s="66"/>
      <c r="I41" s="48"/>
      <c r="J41" s="48"/>
      <c r="K41" s="48"/>
    </row>
    <row r="42" spans="1:11" ht="12">
      <c r="A42" s="66"/>
      <c r="B42" s="66"/>
      <c r="C42" s="66"/>
      <c r="D42" s="66"/>
      <c r="E42" s="66"/>
      <c r="F42" s="66"/>
      <c r="H42" s="66"/>
      <c r="I42" s="48"/>
      <c r="J42" s="48"/>
      <c r="K42" s="48"/>
    </row>
    <row r="43" spans="1:11" ht="12">
      <c r="A43" s="2"/>
      <c r="B43" s="65" t="str">
        <f>B36</f>
        <v>N+1</v>
      </c>
      <c r="C43" s="65" t="str">
        <f>C36</f>
        <v>N+2</v>
      </c>
      <c r="D43" s="65" t="str">
        <f>D36</f>
        <v>N+3</v>
      </c>
      <c r="E43" s="65" t="str">
        <f>E36</f>
        <v>N+4</v>
      </c>
      <c r="F43" s="65" t="str">
        <f>F36</f>
        <v>N+5</v>
      </c>
      <c r="H43" s="66"/>
      <c r="I43" s="48"/>
      <c r="J43" s="48"/>
      <c r="K43" s="48"/>
    </row>
    <row r="44" spans="1:11" ht="12">
      <c r="A44" s="66" t="s">
        <v>59</v>
      </c>
      <c r="B44" s="66">
        <f>B39</f>
        <v>56.386636800000005</v>
      </c>
      <c r="C44" s="66">
        <f>C39</f>
        <v>58.418902272</v>
      </c>
      <c r="D44" s="66">
        <f>D39</f>
        <v>60.65245836288002</v>
      </c>
      <c r="E44" s="66">
        <f>E39</f>
        <v>66.09535669739522</v>
      </c>
      <c r="F44" s="66">
        <f>F39</f>
        <v>71.75597096529104</v>
      </c>
      <c r="H44" s="66"/>
      <c r="I44" s="48"/>
      <c r="J44" s="48"/>
      <c r="K44" s="48"/>
    </row>
    <row r="45" spans="1:11" ht="12">
      <c r="A45" s="66" t="s">
        <v>50</v>
      </c>
      <c r="B45" s="71">
        <f>B40</f>
        <v>35</v>
      </c>
      <c r="C45" s="71">
        <f>C40</f>
        <v>40</v>
      </c>
      <c r="D45" s="71">
        <f>D40</f>
        <v>45</v>
      </c>
      <c r="E45" s="71">
        <f>E40</f>
        <v>45</v>
      </c>
      <c r="F45" s="71">
        <f>F40</f>
        <v>45</v>
      </c>
      <c r="H45" s="66"/>
      <c r="I45" s="48"/>
      <c r="J45" s="48"/>
      <c r="K45" s="48"/>
    </row>
    <row r="46" spans="1:11" ht="12">
      <c r="A46" s="66" t="s">
        <v>60</v>
      </c>
      <c r="B46" s="66">
        <f>B44+B45</f>
        <v>91.3866368</v>
      </c>
      <c r="C46" s="66">
        <f>C44+C45</f>
        <v>98.418902272</v>
      </c>
      <c r="D46" s="66">
        <f>D44+D45</f>
        <v>105.65245836288003</v>
      </c>
      <c r="E46" s="66">
        <f>E44+E45</f>
        <v>111.09535669739522</v>
      </c>
      <c r="F46" s="66">
        <f>F44+F45</f>
        <v>116.75597096529104</v>
      </c>
      <c r="H46" s="66"/>
      <c r="I46" s="48"/>
      <c r="J46" s="48"/>
      <c r="K46" s="48"/>
    </row>
    <row r="47" spans="1:11" ht="12">
      <c r="A47" s="66" t="s">
        <v>55</v>
      </c>
      <c r="B47" s="66">
        <f>B32</f>
        <v>-16.45846519144095</v>
      </c>
      <c r="C47" s="66">
        <f>C32</f>
        <v>-17.229720255411735</v>
      </c>
      <c r="D47" s="66">
        <f>D32</f>
        <v>-17.80599260931507</v>
      </c>
      <c r="E47" s="66">
        <f>E32</f>
        <v>-18.518232313687747</v>
      </c>
      <c r="F47" s="66">
        <f>F32</f>
        <v>-19.258961606235175</v>
      </c>
      <c r="H47" s="66"/>
      <c r="I47" s="48"/>
      <c r="J47" s="48"/>
      <c r="K47" s="48"/>
    </row>
    <row r="48" spans="1:11" ht="12">
      <c r="A48" s="66" t="s">
        <v>56</v>
      </c>
      <c r="B48" s="71">
        <f>-45</f>
        <v>-45</v>
      </c>
      <c r="C48" s="71">
        <f>-45</f>
        <v>-45</v>
      </c>
      <c r="D48" s="71">
        <f>-45</f>
        <v>-45</v>
      </c>
      <c r="E48" s="71">
        <f>-45</f>
        <v>-45</v>
      </c>
      <c r="F48" s="71">
        <f>-45</f>
        <v>-45</v>
      </c>
      <c r="H48" s="66"/>
      <c r="I48" s="48"/>
      <c r="J48" s="48"/>
      <c r="K48" s="48"/>
    </row>
    <row r="49" spans="1:11" ht="12">
      <c r="A49" s="72" t="s">
        <v>61</v>
      </c>
      <c r="B49" s="72">
        <f>B46+B47+B48</f>
        <v>29.928171608559055</v>
      </c>
      <c r="C49" s="72">
        <f>C46+C47+C48</f>
        <v>36.18918201658826</v>
      </c>
      <c r="D49" s="72">
        <f>D46+D47+D48</f>
        <v>42.84646575356496</v>
      </c>
      <c r="E49" s="72">
        <f>E46+E47+E48</f>
        <v>47.57712438370747</v>
      </c>
      <c r="F49" s="72">
        <f>F46+F47+F48</f>
        <v>52.497009359055866</v>
      </c>
      <c r="H49" s="66"/>
      <c r="I49" s="48"/>
      <c r="J49" s="48"/>
      <c r="K49" s="48"/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&amp;L(c) C. Thibierge - 2011&amp;C&amp;"Times New Roman,Normal"&amp;12Page &amp;P&amp;Rwww.thibierge.net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G1" sqref="G1"/>
    </sheetView>
  </sheetViews>
  <sheetFormatPr defaultColWidth="11.421875" defaultRowHeight="12.75"/>
  <cols>
    <col min="1" max="1" width="43.140625" style="0" customWidth="1"/>
    <col min="2" max="6" width="8.140625" style="0" customWidth="1"/>
    <col min="7" max="11" width="7.57421875" style="0" customWidth="1"/>
    <col min="12" max="16384" width="11.57421875" style="0" customWidth="1"/>
  </cols>
  <sheetData>
    <row r="1" spans="1:11" ht="12">
      <c r="A1" s="7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4" t="s">
        <v>1</v>
      </c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50" t="s">
        <v>62</v>
      </c>
      <c r="H4" s="50" t="s">
        <v>63</v>
      </c>
      <c r="I4" s="50" t="s">
        <v>64</v>
      </c>
      <c r="J4" s="50" t="s">
        <v>65</v>
      </c>
      <c r="K4" s="51" t="s">
        <v>66</v>
      </c>
    </row>
    <row r="5" spans="1:11" ht="12">
      <c r="A5" s="8" t="s">
        <v>8</v>
      </c>
      <c r="B5" s="9">
        <v>484.2</v>
      </c>
      <c r="C5" s="10">
        <v>513.252</v>
      </c>
      <c r="D5" s="10">
        <v>550.206144</v>
      </c>
      <c r="E5" s="10">
        <v>616.781087424</v>
      </c>
      <c r="F5" s="10">
        <v>647.6201417952</v>
      </c>
      <c r="G5" s="74">
        <f>F5+(-CF_prévisionnels!B33)</f>
        <v>692.6201417952</v>
      </c>
      <c r="H5" s="74">
        <f>G5+(-CF_prévisionnels!C33)</f>
        <v>737.6201417952</v>
      </c>
      <c r="I5" s="74">
        <f>H5+(-CF_prévisionnels!D33)</f>
        <v>782.6201417952</v>
      </c>
      <c r="J5" s="74">
        <f>I5+(-CF_prévisionnels!E33)</f>
        <v>827.6201417952</v>
      </c>
      <c r="K5" s="74">
        <f>J5+(-CF_prévisionnels!F33)</f>
        <v>872.6201417952</v>
      </c>
    </row>
    <row r="6" spans="1:11" ht="12">
      <c r="A6" s="8" t="s">
        <v>9</v>
      </c>
      <c r="B6" s="9">
        <v>-267.45</v>
      </c>
      <c r="C6" s="10">
        <v>-295.301796</v>
      </c>
      <c r="D6" s="10">
        <v>-356.17836768</v>
      </c>
      <c r="E6" s="10">
        <v>-389.592487096723</v>
      </c>
      <c r="F6" s="10">
        <v>-412.957832302331</v>
      </c>
      <c r="G6" s="74">
        <f>F6+G34</f>
        <v>-447.957832302331</v>
      </c>
      <c r="H6" s="74">
        <f>G6+H34</f>
        <v>-487.957832302331</v>
      </c>
      <c r="I6" s="74">
        <f>H6+I34</f>
        <v>-532.957832302331</v>
      </c>
      <c r="J6" s="74">
        <f>I6+J34</f>
        <v>-577.957832302331</v>
      </c>
      <c r="K6" s="74">
        <f>J6+K34</f>
        <v>-622.957832302331</v>
      </c>
    </row>
    <row r="7" spans="1:11" ht="12">
      <c r="A7" s="8" t="s">
        <v>10</v>
      </c>
      <c r="B7" s="9">
        <v>216.75</v>
      </c>
      <c r="C7" s="10">
        <v>217.950204</v>
      </c>
      <c r="D7" s="10">
        <v>194.02777632</v>
      </c>
      <c r="E7" s="10">
        <v>227.188600327277</v>
      </c>
      <c r="F7" s="10">
        <v>234.662309492869</v>
      </c>
      <c r="G7" s="74">
        <f>G5+G6</f>
        <v>244.66230949286899</v>
      </c>
      <c r="H7" s="74">
        <f>H5+H6</f>
        <v>249.66230949286899</v>
      </c>
      <c r="I7" s="74">
        <f>I5+I6</f>
        <v>249.66230949286899</v>
      </c>
      <c r="J7" s="74">
        <f>J5+J6</f>
        <v>249.66230949286899</v>
      </c>
      <c r="K7" s="74">
        <f>K5+K6</f>
        <v>249.66230949286899</v>
      </c>
    </row>
    <row r="8" spans="1:11" ht="12">
      <c r="A8" s="11" t="s">
        <v>11</v>
      </c>
      <c r="B8" s="12">
        <v>71.7</v>
      </c>
      <c r="C8" s="13">
        <v>71.7</v>
      </c>
      <c r="D8" s="13">
        <v>71.7</v>
      </c>
      <c r="E8" s="13">
        <v>71.7</v>
      </c>
      <c r="F8" s="13">
        <v>71.7</v>
      </c>
      <c r="G8" s="75">
        <f>F8</f>
        <v>71.7</v>
      </c>
      <c r="H8" s="75">
        <f>G8</f>
        <v>71.7</v>
      </c>
      <c r="I8" s="75">
        <f>H8</f>
        <v>71.7</v>
      </c>
      <c r="J8" s="75">
        <f>I8</f>
        <v>71.7</v>
      </c>
      <c r="K8" s="75">
        <f>J8</f>
        <v>71.7</v>
      </c>
    </row>
    <row r="9" spans="1:11" ht="12">
      <c r="A9" s="14" t="s">
        <v>12</v>
      </c>
      <c r="B9" s="15">
        <v>288.45</v>
      </c>
      <c r="C9" s="16">
        <v>289.650204</v>
      </c>
      <c r="D9" s="16">
        <v>265.72777632</v>
      </c>
      <c r="E9" s="16">
        <v>298.888600327277</v>
      </c>
      <c r="F9" s="16">
        <v>306.362309492869</v>
      </c>
      <c r="G9" s="76">
        <f>G7+G8</f>
        <v>316.362309492869</v>
      </c>
      <c r="H9" s="76">
        <f>H7+H8</f>
        <v>321.362309492869</v>
      </c>
      <c r="I9" s="76">
        <f>I7+I8</f>
        <v>321.362309492869</v>
      </c>
      <c r="J9" s="76">
        <f>J7+J8</f>
        <v>321.362309492869</v>
      </c>
      <c r="K9" s="76">
        <f>K7+K8</f>
        <v>321.362309492869</v>
      </c>
    </row>
    <row r="10" spans="1:11" ht="12">
      <c r="A10" s="8"/>
      <c r="B10" s="9"/>
      <c r="C10" s="10"/>
      <c r="D10" s="10"/>
      <c r="E10" s="10"/>
      <c r="F10" s="10"/>
      <c r="G10" s="1"/>
      <c r="H10" s="1"/>
      <c r="I10" s="1"/>
      <c r="J10" s="1"/>
      <c r="K10" s="1"/>
    </row>
    <row r="11" spans="1:11" ht="12">
      <c r="A11" s="77" t="s">
        <v>13</v>
      </c>
      <c r="B11" s="78">
        <v>196.65</v>
      </c>
      <c r="C11" s="78">
        <v>244.236461089792</v>
      </c>
      <c r="D11" s="78">
        <v>310.360352399957</v>
      </c>
      <c r="E11" s="78">
        <v>393.767334086846</v>
      </c>
      <c r="F11" s="78">
        <v>411.461629786024</v>
      </c>
      <c r="G11" s="1">
        <f>CF_prévisionnels!C26</f>
        <v>427.92009497746494</v>
      </c>
      <c r="H11" s="1">
        <f>CF_prévisionnels!D26</f>
        <v>445.1498152328767</v>
      </c>
      <c r="I11" s="1">
        <f>CF_prévisionnels!E26</f>
        <v>462.95580784219175</v>
      </c>
      <c r="J11" s="1">
        <f>CF_prévisionnels!F26</f>
        <v>481.4740401558795</v>
      </c>
      <c r="K11" s="1">
        <f>CF_prévisionnels!G26</f>
        <v>500.73300176211467</v>
      </c>
    </row>
    <row r="12" spans="1:11" ht="12">
      <c r="A12" s="77"/>
      <c r="B12" s="78"/>
      <c r="C12" s="79"/>
      <c r="D12" s="79"/>
      <c r="E12" s="79"/>
      <c r="F12" s="79"/>
      <c r="G12" s="1"/>
      <c r="H12" s="1"/>
      <c r="I12" s="1"/>
      <c r="J12" s="1"/>
      <c r="K12" s="1"/>
    </row>
    <row r="13" spans="1:11" ht="12">
      <c r="A13" s="11" t="s">
        <v>14</v>
      </c>
      <c r="B13" s="12">
        <v>88.8</v>
      </c>
      <c r="C13" s="13">
        <v>25.5</v>
      </c>
      <c r="D13" s="13">
        <v>50.94</v>
      </c>
      <c r="E13" s="13">
        <v>16.665</v>
      </c>
      <c r="F13" s="13">
        <v>31.185</v>
      </c>
      <c r="G13" s="1">
        <f>G22-G9-G11</f>
        <v>21.418825432690085</v>
      </c>
      <c r="H13" s="1">
        <f>H22-H9-H11</f>
        <v>2.3730074492783046</v>
      </c>
      <c r="I13" s="1">
        <f>I22-I9-I11</f>
        <v>8.88447320284331</v>
      </c>
      <c r="J13" s="1">
        <f>J22-J9-J11</f>
        <v>11.476597586550781</v>
      </c>
      <c r="K13" s="1">
        <f>K22-K9-K11</f>
        <v>10.78860694560666</v>
      </c>
    </row>
    <row r="14" spans="1:11" ht="12">
      <c r="A14" s="80" t="s">
        <v>15</v>
      </c>
      <c r="B14" s="81">
        <v>573.9</v>
      </c>
      <c r="C14" s="81">
        <v>559.386665089792</v>
      </c>
      <c r="D14" s="81">
        <v>627.028128719957</v>
      </c>
      <c r="E14" s="81">
        <v>709.320934414123</v>
      </c>
      <c r="F14" s="81">
        <v>749.008939278893</v>
      </c>
      <c r="G14" s="1">
        <f>G9+G11+G13</f>
        <v>765.7012299030239</v>
      </c>
      <c r="H14" s="1">
        <f>H9+H11+H13</f>
        <v>768.885132175024</v>
      </c>
      <c r="I14" s="1">
        <f>I9+I11+I13</f>
        <v>793.202590537904</v>
      </c>
      <c r="J14" s="1">
        <f>J9+J11+J13</f>
        <v>814.3129472352991</v>
      </c>
      <c r="K14" s="1">
        <f>K9+K11+K13</f>
        <v>832.8839182005904</v>
      </c>
    </row>
    <row r="15" spans="1:11" ht="12">
      <c r="A15" s="19"/>
      <c r="B15" s="20"/>
      <c r="C15" s="21"/>
      <c r="D15" s="21"/>
      <c r="E15" s="21"/>
      <c r="F15" s="21"/>
      <c r="G15" s="1"/>
      <c r="H15" s="1"/>
      <c r="I15" s="1"/>
      <c r="J15" s="1"/>
      <c r="K15" s="1"/>
    </row>
    <row r="16" spans="1:11" ht="12">
      <c r="A16" s="5" t="s">
        <v>16</v>
      </c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50" t="s">
        <v>62</v>
      </c>
      <c r="H16" s="50" t="s">
        <v>63</v>
      </c>
      <c r="I16" s="50" t="s">
        <v>64</v>
      </c>
      <c r="J16" s="50" t="s">
        <v>65</v>
      </c>
      <c r="K16" s="51" t="s">
        <v>66</v>
      </c>
    </row>
    <row r="17" spans="1:11" ht="12">
      <c r="A17" s="22"/>
      <c r="B17" s="23"/>
      <c r="C17" s="24"/>
      <c r="D17" s="25"/>
      <c r="E17" s="25"/>
      <c r="F17" s="25"/>
      <c r="G17" s="1"/>
      <c r="H17" s="1"/>
      <c r="I17" s="1"/>
      <c r="J17" s="1"/>
      <c r="K17" s="1"/>
    </row>
    <row r="18" spans="1:11" ht="12">
      <c r="A18" s="26" t="s">
        <v>17</v>
      </c>
      <c r="B18" s="9">
        <v>305.55</v>
      </c>
      <c r="C18" s="9">
        <v>318.064550395801</v>
      </c>
      <c r="D18" s="9">
        <v>292.682057922406</v>
      </c>
      <c r="E18" s="9">
        <v>301.869720808431</v>
      </c>
      <c r="F18" s="9">
        <v>307.259593103024</v>
      </c>
      <c r="G18" s="1">
        <f>F18+G41</f>
        <v>344.701229903024</v>
      </c>
      <c r="H18" s="1">
        <f>G18+H41</f>
        <v>385.885132175024</v>
      </c>
      <c r="I18" s="1">
        <f>H18+I41</f>
        <v>430.20259053790403</v>
      </c>
      <c r="J18" s="1">
        <f>I18+J41</f>
        <v>481.31294723529925</v>
      </c>
      <c r="K18" s="1">
        <f>J18+K41</f>
        <v>539.8839182005903</v>
      </c>
    </row>
    <row r="19" spans="1:11" ht="12">
      <c r="A19" s="26" t="s">
        <v>18</v>
      </c>
      <c r="B19" s="9">
        <v>258.75</v>
      </c>
      <c r="C19" s="9">
        <v>217.95</v>
      </c>
      <c r="D19" s="9">
        <v>297.105</v>
      </c>
      <c r="E19" s="9">
        <v>348.825</v>
      </c>
      <c r="F19" s="9">
        <v>408</v>
      </c>
      <c r="G19" s="1">
        <f>F19</f>
        <v>408</v>
      </c>
      <c r="H19" s="1">
        <v>370</v>
      </c>
      <c r="I19" s="1">
        <v>350</v>
      </c>
      <c r="J19" s="1">
        <v>320</v>
      </c>
      <c r="K19" s="1">
        <v>280</v>
      </c>
    </row>
    <row r="20" spans="1:11" ht="12">
      <c r="A20" s="26" t="s">
        <v>19</v>
      </c>
      <c r="B20" s="9">
        <v>9.6</v>
      </c>
      <c r="C20" s="9">
        <v>23.37</v>
      </c>
      <c r="D20" s="9">
        <v>37.245</v>
      </c>
      <c r="E20" s="9">
        <v>58.62</v>
      </c>
      <c r="F20" s="9">
        <v>33.75</v>
      </c>
      <c r="G20" s="1">
        <v>13</v>
      </c>
      <c r="H20" s="1">
        <f>G20</f>
        <v>13</v>
      </c>
      <c r="I20" s="1">
        <f>H20</f>
        <v>13</v>
      </c>
      <c r="J20" s="1">
        <f>I20</f>
        <v>13</v>
      </c>
      <c r="K20" s="1">
        <f>J20</f>
        <v>13</v>
      </c>
    </row>
    <row r="21" spans="1:11" ht="12">
      <c r="A21" s="8"/>
      <c r="B21" s="9"/>
      <c r="C21" s="27"/>
      <c r="D21" s="10"/>
      <c r="E21" s="10"/>
      <c r="F21" s="10"/>
      <c r="G21" s="1"/>
      <c r="H21" s="1"/>
      <c r="I21" s="1"/>
      <c r="J21" s="1"/>
      <c r="K21" s="1"/>
    </row>
    <row r="22" spans="1:11" ht="12">
      <c r="A22" s="80" t="s">
        <v>15</v>
      </c>
      <c r="B22" s="81">
        <v>573.9</v>
      </c>
      <c r="C22" s="81">
        <v>559.386665089792</v>
      </c>
      <c r="D22" s="81">
        <v>627.028128719957</v>
      </c>
      <c r="E22" s="81">
        <v>709.320934414123</v>
      </c>
      <c r="F22" s="81">
        <v>749.008939278893</v>
      </c>
      <c r="G22" s="1">
        <f>SUM(G18:G20)</f>
        <v>765.701229903024</v>
      </c>
      <c r="H22" s="1">
        <f>SUM(H18:H20)</f>
        <v>768.885132175024</v>
      </c>
      <c r="I22" s="1">
        <f>SUM(I18:I20)</f>
        <v>793.202590537904</v>
      </c>
      <c r="J22" s="1">
        <f>SUM(J18:J20)</f>
        <v>814.3129472352992</v>
      </c>
      <c r="K22" s="1">
        <f>SUM(K18:K20)</f>
        <v>832.8839182005903</v>
      </c>
    </row>
    <row r="23" spans="1:1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28" t="s">
        <v>20</v>
      </c>
      <c r="B25" s="29" t="s">
        <v>3</v>
      </c>
      <c r="C25" s="29" t="s">
        <v>4</v>
      </c>
      <c r="D25" s="29" t="s">
        <v>5</v>
      </c>
      <c r="E25" s="29" t="s">
        <v>6</v>
      </c>
      <c r="F25" s="30" t="s">
        <v>7</v>
      </c>
      <c r="G25" s="50" t="s">
        <v>62</v>
      </c>
      <c r="H25" s="50" t="s">
        <v>63</v>
      </c>
      <c r="I25" s="50" t="s">
        <v>64</v>
      </c>
      <c r="J25" s="50" t="s">
        <v>65</v>
      </c>
      <c r="K25" s="51" t="s">
        <v>66</v>
      </c>
    </row>
    <row r="26" spans="1:11" ht="12">
      <c r="A26" s="14" t="s">
        <v>21</v>
      </c>
      <c r="B26" s="31">
        <v>1477.8</v>
      </c>
      <c r="C26" s="32">
        <v>1566.5</v>
      </c>
      <c r="D26" s="33">
        <v>1679.3</v>
      </c>
      <c r="E26" s="32">
        <v>1882.4</v>
      </c>
      <c r="F26" s="34">
        <v>1976.6</v>
      </c>
      <c r="G26" s="34">
        <f>F26*(1+G27)</f>
        <v>2055.6639999999998</v>
      </c>
      <c r="H26" s="34">
        <f>G26*(1+H27)</f>
        <v>2137.89056</v>
      </c>
      <c r="I26" s="34">
        <f>H26*(1+I27)</f>
        <v>2223.4061824</v>
      </c>
      <c r="J26" s="34">
        <f>I26*(1+J27)</f>
        <v>2312.342429696</v>
      </c>
      <c r="K26" s="34">
        <f>J26*(1+K27)</f>
        <v>2404.8361268838403</v>
      </c>
    </row>
    <row r="27" spans="1:11" ht="12">
      <c r="A27" s="35" t="s">
        <v>22</v>
      </c>
      <c r="B27" s="31"/>
      <c r="C27" s="36">
        <v>0.0600216538097172</v>
      </c>
      <c r="D27" s="36">
        <v>0.0720076603894031</v>
      </c>
      <c r="E27" s="36">
        <v>0.12094325016375901</v>
      </c>
      <c r="F27" s="36">
        <v>0.0500424989375265</v>
      </c>
      <c r="G27" s="56">
        <v>0.04</v>
      </c>
      <c r="H27" s="56">
        <f>G27</f>
        <v>0.04</v>
      </c>
      <c r="I27" s="56">
        <f>H27</f>
        <v>0.04</v>
      </c>
      <c r="J27" s="56">
        <f>I27</f>
        <v>0.04</v>
      </c>
      <c r="K27" s="56">
        <f>J27</f>
        <v>0.04</v>
      </c>
    </row>
    <row r="28" spans="1:11" ht="12">
      <c r="A28" s="8" t="s">
        <v>23</v>
      </c>
      <c r="B28" s="37">
        <v>-1332.8</v>
      </c>
      <c r="C28" s="38">
        <v>-1408.1</v>
      </c>
      <c r="D28" s="39">
        <v>-1507.8</v>
      </c>
      <c r="E28" s="38">
        <v>-1727.9</v>
      </c>
      <c r="F28" s="40">
        <v>-1790</v>
      </c>
      <c r="G28" s="58"/>
      <c r="H28" s="58"/>
      <c r="I28" s="58"/>
      <c r="J28" s="58"/>
      <c r="K28" s="58"/>
    </row>
    <row r="29" spans="1:11" ht="12">
      <c r="A29" s="14" t="s">
        <v>24</v>
      </c>
      <c r="B29" s="31">
        <v>145</v>
      </c>
      <c r="C29" s="32">
        <v>158.4</v>
      </c>
      <c r="D29" s="33">
        <v>171.5</v>
      </c>
      <c r="E29" s="32">
        <v>154.5</v>
      </c>
      <c r="F29" s="34">
        <v>186.6</v>
      </c>
      <c r="G29" s="34">
        <f>G26*G30</f>
        <v>209.677728</v>
      </c>
      <c r="H29" s="34">
        <f>H26*H30</f>
        <v>218.06483712</v>
      </c>
      <c r="I29" s="34">
        <f>I26*I30</f>
        <v>226.78743060480002</v>
      </c>
      <c r="J29" s="34">
        <f>J26*J30</f>
        <v>235.85892782899202</v>
      </c>
      <c r="K29" s="34">
        <f>K26*K30</f>
        <v>245.29328494215173</v>
      </c>
    </row>
    <row r="30" spans="1:11" ht="12">
      <c r="A30" s="35" t="s">
        <v>25</v>
      </c>
      <c r="B30" s="41">
        <v>0.0981188252808228</v>
      </c>
      <c r="C30" s="41">
        <v>0.10111714012129</v>
      </c>
      <c r="D30" s="41">
        <v>0.10212588578574401</v>
      </c>
      <c r="E30" s="41">
        <v>0.0820760730981725</v>
      </c>
      <c r="F30" s="42">
        <v>0.0944045330365274</v>
      </c>
      <c r="G30" s="60">
        <v>0.10200000000000001</v>
      </c>
      <c r="H30" s="60">
        <f>G30</f>
        <v>0.10200000000000001</v>
      </c>
      <c r="I30" s="60">
        <f>H30</f>
        <v>0.10200000000000001</v>
      </c>
      <c r="J30" s="60">
        <f>I30</f>
        <v>0.10200000000000001</v>
      </c>
      <c r="K30" s="60">
        <f>J30</f>
        <v>0.10200000000000001</v>
      </c>
    </row>
    <row r="31" spans="1:11" ht="12">
      <c r="A31" s="8" t="s">
        <v>26</v>
      </c>
      <c r="B31" s="37">
        <v>-75.8</v>
      </c>
      <c r="C31" s="38">
        <v>-86.4</v>
      </c>
      <c r="D31" s="39">
        <v>-89.1</v>
      </c>
      <c r="E31" s="38">
        <v>-82.1</v>
      </c>
      <c r="F31" s="40">
        <v>-80.7</v>
      </c>
      <c r="G31" s="61">
        <v>-80.7</v>
      </c>
      <c r="H31" s="61">
        <f>G31</f>
        <v>-80.7</v>
      </c>
      <c r="I31" s="61">
        <f>H31</f>
        <v>-80.7</v>
      </c>
      <c r="J31" s="61">
        <f>I31</f>
        <v>-80.7</v>
      </c>
      <c r="K31" s="61">
        <f>J31</f>
        <v>-80.7</v>
      </c>
    </row>
    <row r="32" spans="1:11" ht="12">
      <c r="A32" s="35" t="s">
        <v>27</v>
      </c>
      <c r="B32" s="37"/>
      <c r="C32" s="36">
        <f>(-C31+B31)/(-B31)</f>
        <v>0.13984168865435367</v>
      </c>
      <c r="D32" s="36">
        <f>(-D31+C31)/(-C31)</f>
        <v>0.031249999999999865</v>
      </c>
      <c r="E32" s="36">
        <f>(-E31+D31)/(-D31)</f>
        <v>-0.07856341189674523</v>
      </c>
      <c r="F32" s="36">
        <f>(-F31+E31)/(-E31)</f>
        <v>-0.017052375152253246</v>
      </c>
      <c r="G32" s="36">
        <f>(-G31+F31)/(-F31)</f>
        <v>0</v>
      </c>
      <c r="H32" s="36">
        <f>(-H31+G31)/(-G31)</f>
        <v>0</v>
      </c>
      <c r="I32" s="36">
        <f>(-I31+H31)/(-H31)</f>
        <v>0</v>
      </c>
      <c r="J32" s="36">
        <f>(-J31+I31)/(-I31)</f>
        <v>0</v>
      </c>
      <c r="K32" s="36">
        <f>(-K31+J31)/(-J31)</f>
        <v>0</v>
      </c>
    </row>
    <row r="33" spans="1:11" ht="12">
      <c r="A33" s="14" t="s">
        <v>28</v>
      </c>
      <c r="B33" s="31">
        <v>69.2</v>
      </c>
      <c r="C33" s="32">
        <v>72</v>
      </c>
      <c r="D33" s="33">
        <v>82.3</v>
      </c>
      <c r="E33" s="32">
        <v>72.5</v>
      </c>
      <c r="F33" s="34">
        <v>105.9</v>
      </c>
      <c r="G33" s="34">
        <f>G29+G31</f>
        <v>128.977728</v>
      </c>
      <c r="H33" s="34">
        <f>H29+H31</f>
        <v>137.36483712</v>
      </c>
      <c r="I33" s="34">
        <f>I29+I31</f>
        <v>146.08743060480003</v>
      </c>
      <c r="J33" s="34">
        <f>J29+J31</f>
        <v>155.15892782899203</v>
      </c>
      <c r="K33" s="34">
        <f>K29+K31</f>
        <v>164.59328494215174</v>
      </c>
    </row>
    <row r="34" spans="1:11" ht="12">
      <c r="A34" s="8" t="s">
        <v>29</v>
      </c>
      <c r="B34" s="37">
        <v>-9.8</v>
      </c>
      <c r="C34" s="38">
        <v>-39.6</v>
      </c>
      <c r="D34" s="39">
        <v>-86.7</v>
      </c>
      <c r="E34" s="38">
        <v>-53.1</v>
      </c>
      <c r="F34" s="40">
        <v>-33.2</v>
      </c>
      <c r="G34" s="61">
        <v>-35</v>
      </c>
      <c r="H34" s="61">
        <v>-40</v>
      </c>
      <c r="I34" s="61">
        <v>-45</v>
      </c>
      <c r="J34" s="61">
        <v>-45</v>
      </c>
      <c r="K34" s="61">
        <v>-45</v>
      </c>
    </row>
    <row r="35" spans="1:11" ht="12">
      <c r="A35" s="14" t="s">
        <v>30</v>
      </c>
      <c r="B35" s="31">
        <v>59.3</v>
      </c>
      <c r="C35" s="32">
        <v>32.4</v>
      </c>
      <c r="D35" s="33">
        <v>-4.4</v>
      </c>
      <c r="E35" s="32">
        <v>19.4</v>
      </c>
      <c r="F35" s="34">
        <v>72.7</v>
      </c>
      <c r="G35" s="34">
        <f>G33+G34</f>
        <v>93.97772800000001</v>
      </c>
      <c r="H35" s="34">
        <f>H33+H34</f>
        <v>97.36483712</v>
      </c>
      <c r="I35" s="34">
        <f>I33+I34</f>
        <v>101.08743060480003</v>
      </c>
      <c r="J35" s="34">
        <f>J33+J34</f>
        <v>110.15892782899203</v>
      </c>
      <c r="K35" s="34">
        <f>K33+K34</f>
        <v>119.59328494215174</v>
      </c>
    </row>
    <row r="36" spans="1:11" ht="12">
      <c r="A36" s="8" t="s">
        <v>31</v>
      </c>
      <c r="B36" s="37">
        <v>-17.3</v>
      </c>
      <c r="C36" s="37">
        <v>-13.8</v>
      </c>
      <c r="D36" s="37">
        <v>-18.1</v>
      </c>
      <c r="E36" s="37">
        <v>-26.3</v>
      </c>
      <c r="F36" s="38">
        <v>-28.6</v>
      </c>
      <c r="G36" s="38">
        <f>-G42*(G19+G20)</f>
        <v>-31.575</v>
      </c>
      <c r="H36" s="38">
        <f>-H42*(H19+H20)</f>
        <v>-28.724999999999998</v>
      </c>
      <c r="I36" s="38">
        <f>-I42*(I19+I20)</f>
        <v>-27.224999999999998</v>
      </c>
      <c r="J36" s="38">
        <f>-J42*(J19+J20)</f>
        <v>-24.974999999999998</v>
      </c>
      <c r="K36" s="38">
        <f>-K42*(K19+K20)</f>
        <v>-21.974999999999998</v>
      </c>
    </row>
    <row r="37" spans="1:11" ht="12">
      <c r="A37" s="8" t="s">
        <v>32</v>
      </c>
      <c r="B37" s="37">
        <v>1.4</v>
      </c>
      <c r="C37" s="38">
        <v>2.2</v>
      </c>
      <c r="D37" s="39">
        <v>0.6000000000000001</v>
      </c>
      <c r="E37" s="38">
        <v>1.8</v>
      </c>
      <c r="F37" s="38">
        <v>-1.5</v>
      </c>
      <c r="G37" s="38"/>
      <c r="H37" s="38"/>
      <c r="I37" s="38"/>
      <c r="J37" s="38"/>
      <c r="K37" s="38"/>
    </row>
    <row r="38" spans="1:11" ht="12">
      <c r="A38" s="14" t="s">
        <v>33</v>
      </c>
      <c r="B38" s="31">
        <v>43.5</v>
      </c>
      <c r="C38" s="32">
        <v>20.9</v>
      </c>
      <c r="D38" s="33">
        <v>-21.8</v>
      </c>
      <c r="E38" s="32">
        <v>-5.1</v>
      </c>
      <c r="F38" s="32">
        <v>42.6</v>
      </c>
      <c r="G38" s="32">
        <f>G35+G36</f>
        <v>62.40272800000001</v>
      </c>
      <c r="H38" s="32">
        <f>H35+H36</f>
        <v>68.63983712000001</v>
      </c>
      <c r="I38" s="32">
        <f>I35+I36</f>
        <v>73.86243060480004</v>
      </c>
      <c r="J38" s="32">
        <f>J35+J36</f>
        <v>85.18392782899204</v>
      </c>
      <c r="K38" s="32">
        <f>K35+K36</f>
        <v>97.61828494215175</v>
      </c>
    </row>
    <row r="39" spans="1:11" ht="12">
      <c r="A39" s="14" t="s">
        <v>34</v>
      </c>
      <c r="B39" s="31">
        <v>0</v>
      </c>
      <c r="C39" s="31">
        <v>0</v>
      </c>
      <c r="D39" s="31">
        <v>-3.6</v>
      </c>
      <c r="E39" s="31">
        <v>20.5</v>
      </c>
      <c r="F39" s="32">
        <v>-33.6</v>
      </c>
      <c r="G39" s="32"/>
      <c r="H39" s="32"/>
      <c r="I39" s="32"/>
      <c r="J39" s="32"/>
      <c r="K39" s="32"/>
    </row>
    <row r="40" spans="1:11" ht="12">
      <c r="A40" s="8" t="s">
        <v>35</v>
      </c>
      <c r="B40" s="37">
        <v>-17.4</v>
      </c>
      <c r="C40" s="37">
        <v>-8.3</v>
      </c>
      <c r="D40" s="37">
        <v>0</v>
      </c>
      <c r="E40" s="37">
        <v>-6.1</v>
      </c>
      <c r="F40" s="38">
        <v>-3.6</v>
      </c>
      <c r="G40" s="38">
        <f>G38*-G43</f>
        <v>-24.961091200000006</v>
      </c>
      <c r="H40" s="38">
        <f>H38*-H43</f>
        <v>-27.455934848000005</v>
      </c>
      <c r="I40" s="38">
        <f>I38*-I43</f>
        <v>-29.544972241920018</v>
      </c>
      <c r="J40" s="38">
        <f>J38*-J43</f>
        <v>-34.073571131596815</v>
      </c>
      <c r="K40" s="38">
        <f>K38*-K43</f>
        <v>-39.0473139768607</v>
      </c>
    </row>
    <row r="41" spans="1:11" ht="12">
      <c r="A41" s="43" t="s">
        <v>36</v>
      </c>
      <c r="B41" s="44">
        <v>26.1</v>
      </c>
      <c r="C41" s="45">
        <v>12.5</v>
      </c>
      <c r="D41" s="46">
        <v>-25.4</v>
      </c>
      <c r="E41" s="45">
        <v>9.2</v>
      </c>
      <c r="F41" s="47">
        <v>5.4</v>
      </c>
      <c r="G41" s="47">
        <f>G38+G40</f>
        <v>37.441636800000005</v>
      </c>
      <c r="H41" s="47">
        <f>H38+H40</f>
        <v>41.183902272000005</v>
      </c>
      <c r="I41" s="47">
        <f>I38+I40</f>
        <v>44.31745836288002</v>
      </c>
      <c r="J41" s="47">
        <f>J38+J40</f>
        <v>51.110356697395225</v>
      </c>
      <c r="K41" s="47">
        <f>K38+K40</f>
        <v>58.570970965291046</v>
      </c>
    </row>
    <row r="42" spans="1:11" ht="12">
      <c r="A42" s="1" t="s">
        <v>37</v>
      </c>
      <c r="B42" s="48">
        <f>-B36/(B19+B20)</f>
        <v>0.06446804546301471</v>
      </c>
      <c r="C42" s="48">
        <f>-C36/(C19+C20)</f>
        <v>0.05718547986076579</v>
      </c>
      <c r="D42" s="48">
        <f>-D36/(D19+D20)</f>
        <v>0.05413488858980111</v>
      </c>
      <c r="E42" s="48">
        <f>-E36/(E19+E20)</f>
        <v>0.06454858938016174</v>
      </c>
      <c r="F42" s="48">
        <f>-F36/(F19+F20)</f>
        <v>0.06474250141482739</v>
      </c>
      <c r="G42" s="82">
        <v>0.075</v>
      </c>
      <c r="H42" s="82">
        <f>G42</f>
        <v>0.075</v>
      </c>
      <c r="I42" s="82">
        <f>H42</f>
        <v>0.075</v>
      </c>
      <c r="J42" s="82">
        <f>I42</f>
        <v>0.075</v>
      </c>
      <c r="K42" s="82">
        <f>J42</f>
        <v>0.075</v>
      </c>
    </row>
    <row r="43" spans="1:11" ht="12">
      <c r="A43" s="1" t="s">
        <v>38</v>
      </c>
      <c r="B43" s="48">
        <f>-B40/(B41-B40)</f>
        <v>0.39999999999999997</v>
      </c>
      <c r="C43" s="48">
        <f>-C40/(C41-C40)</f>
        <v>0.39903846153846156</v>
      </c>
      <c r="D43" s="48">
        <f>-D40/(D41-D40)</f>
        <v>0</v>
      </c>
      <c r="E43" s="48">
        <f>-E40/(E41-E40)</f>
        <v>0.39869281045751637</v>
      </c>
      <c r="F43" s="48">
        <f>-F40/(F41-F40)</f>
        <v>0.4</v>
      </c>
      <c r="G43" s="82">
        <v>0.4</v>
      </c>
      <c r="H43" s="82">
        <v>0.4</v>
      </c>
      <c r="I43" s="82">
        <v>0.4</v>
      </c>
      <c r="J43" s="82">
        <v>0.4</v>
      </c>
      <c r="K43" s="82">
        <v>0.4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E4" sqref="E4"/>
    </sheetView>
  </sheetViews>
  <sheetFormatPr defaultColWidth="11.421875" defaultRowHeight="12.75"/>
  <cols>
    <col min="1" max="1" width="33.140625" style="0" customWidth="1"/>
    <col min="2" max="2" width="7.7109375" style="0" customWidth="1"/>
    <col min="3" max="16384" width="11.57421875" style="0" customWidth="1"/>
  </cols>
  <sheetData>
    <row r="2" spans="1:2" ht="12">
      <c r="A2" s="66" t="s">
        <v>67</v>
      </c>
      <c r="B2" s="83">
        <v>0.04</v>
      </c>
    </row>
    <row r="3" spans="1:2" ht="12">
      <c r="A3" s="66" t="s">
        <v>68</v>
      </c>
      <c r="B3" s="83">
        <v>0.05</v>
      </c>
    </row>
    <row r="4" spans="1:2" ht="12">
      <c r="A4" s="66" t="s">
        <v>69</v>
      </c>
      <c r="B4" s="84">
        <v>2</v>
      </c>
    </row>
    <row r="5" spans="1:2" ht="12">
      <c r="A5" s="66" t="s">
        <v>70</v>
      </c>
      <c r="B5" s="83">
        <f>B2+B4*B3</f>
        <v>0.14</v>
      </c>
    </row>
    <row r="6" spans="1:2" ht="12">
      <c r="A6" s="85"/>
      <c r="B6" s="85"/>
    </row>
    <row r="7" spans="1:2" ht="12">
      <c r="A7" s="85" t="s">
        <v>71</v>
      </c>
      <c r="B7" s="66">
        <f>ComptesPrévisionnels!F18</f>
        <v>307.259593103024</v>
      </c>
    </row>
    <row r="8" spans="1:2" ht="12">
      <c r="A8" s="85" t="s">
        <v>72</v>
      </c>
      <c r="B8" s="66">
        <v>7</v>
      </c>
    </row>
    <row r="9" spans="1:2" ht="12">
      <c r="A9" s="85" t="s">
        <v>73</v>
      </c>
      <c r="B9" s="66">
        <f>ComptesPrévisionnels!G41</f>
        <v>37.441636800000005</v>
      </c>
    </row>
    <row r="10" spans="1:2" ht="12">
      <c r="A10" s="85" t="s">
        <v>74</v>
      </c>
      <c r="B10" s="66">
        <f>B9*B8</f>
        <v>262.0914576</v>
      </c>
    </row>
    <row r="11" spans="1:2" ht="12">
      <c r="A11" s="85" t="s">
        <v>75</v>
      </c>
      <c r="B11" s="66">
        <f>(ComptesPrévisionnels!F19+ComptesPrévisionnels!F20)</f>
        <v>441.75</v>
      </c>
    </row>
    <row r="12" spans="1:2" ht="12">
      <c r="A12" s="85"/>
      <c r="B12" s="66"/>
    </row>
    <row r="13" spans="1:2" ht="12">
      <c r="A13" s="85" t="s">
        <v>70</v>
      </c>
      <c r="B13" s="48">
        <f>B5</f>
        <v>0.14</v>
      </c>
    </row>
    <row r="14" spans="1:2" ht="12">
      <c r="A14" s="85" t="s">
        <v>76</v>
      </c>
      <c r="B14" s="48">
        <f>ComptesPrévisionnels!G42</f>
        <v>0.075</v>
      </c>
    </row>
    <row r="15" spans="1:2" ht="12">
      <c r="A15" s="85" t="s">
        <v>38</v>
      </c>
      <c r="B15" s="48">
        <f>ComptesPrévisionnels!F43</f>
        <v>0.4</v>
      </c>
    </row>
    <row r="16" spans="1:2" ht="12">
      <c r="A16" s="85"/>
      <c r="B16" s="66"/>
    </row>
    <row r="17" spans="1:2" ht="12">
      <c r="A17" s="85" t="s">
        <v>77</v>
      </c>
      <c r="B17" s="83">
        <f>B13*(B10/(B10+B11))+B14*(1-B15)*(B11/(B10+B11))</f>
        <v>0.08037542184130644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11.421875" defaultRowHeight="12.75"/>
  <cols>
    <col min="1" max="1" width="47.140625" style="0" customWidth="1"/>
    <col min="2" max="2" width="6.7109375" style="0" customWidth="1"/>
    <col min="3" max="3" width="5.140625" style="0" customWidth="1"/>
    <col min="4" max="6" width="5.00390625" style="0" customWidth="1"/>
    <col min="7" max="16384" width="11.57421875" style="0" customWidth="1"/>
  </cols>
  <sheetData>
    <row r="1" spans="1:6" ht="12">
      <c r="A1" s="1"/>
      <c r="B1" s="86" t="str">
        <f>CF_prévisionnels!B30</f>
        <v>N+1</v>
      </c>
      <c r="C1" s="86" t="str">
        <f>CF_prévisionnels!C30</f>
        <v>N+2</v>
      </c>
      <c r="D1" s="86" t="str">
        <f>CF_prévisionnels!D30</f>
        <v>N+3</v>
      </c>
      <c r="E1" s="86" t="str">
        <f>CF_prévisionnels!E30</f>
        <v>N+4</v>
      </c>
      <c r="F1" s="86" t="str">
        <f>CF_prévisionnels!F30</f>
        <v>N+5</v>
      </c>
    </row>
    <row r="2" spans="1:6" ht="12">
      <c r="A2" s="1"/>
      <c r="B2" s="87">
        <v>1</v>
      </c>
      <c r="C2" s="87">
        <f>B2+1</f>
        <v>2</v>
      </c>
      <c r="D2" s="87">
        <f>C2+1</f>
        <v>3</v>
      </c>
      <c r="E2" s="87">
        <f>D2+1</f>
        <v>4</v>
      </c>
      <c r="F2" s="87">
        <f>E2+1</f>
        <v>5</v>
      </c>
    </row>
    <row r="3" spans="1:6" ht="12">
      <c r="A3" s="88" t="s">
        <v>78</v>
      </c>
      <c r="B3" s="89">
        <f>CF_prévisionnels!B34</f>
        <v>10.983171608559047</v>
      </c>
      <c r="C3" s="89">
        <f>CF_prévisionnels!C34</f>
        <v>18.954182016588277</v>
      </c>
      <c r="D3" s="89">
        <f>CF_prévisionnels!D34</f>
        <v>26.51146575356495</v>
      </c>
      <c r="E3" s="89">
        <f>CF_prévisionnels!E34</f>
        <v>32.59212438370747</v>
      </c>
      <c r="F3" s="89">
        <f>CF_prévisionnels!F34</f>
        <v>39.31200935905588</v>
      </c>
    </row>
    <row r="4" spans="1:6" ht="12">
      <c r="A4" s="1" t="s">
        <v>70</v>
      </c>
      <c r="B4" s="90">
        <f>'Taux d''actualisation'!B5</f>
        <v>0.14</v>
      </c>
      <c r="C4" s="89"/>
      <c r="D4" s="89"/>
      <c r="E4" s="89"/>
      <c r="F4" s="89"/>
    </row>
    <row r="5" spans="1:6" ht="12">
      <c r="A5" s="1" t="s">
        <v>79</v>
      </c>
      <c r="B5" s="89">
        <f>(B3)/(1+$B$4)^B2</f>
        <v>9.634361060139515</v>
      </c>
      <c r="C5" s="89">
        <f>(C3)/(1+$B$4)^C2</f>
        <v>14.584627590480357</v>
      </c>
      <c r="D5" s="89">
        <f>(D3)/(1+$B$4)^D2</f>
        <v>17.894484236421558</v>
      </c>
      <c r="E5" s="89">
        <f>(E3)/(1+$B$4)^E2</f>
        <v>19.297154045189234</v>
      </c>
      <c r="F5" s="89">
        <f>(F3)/(1+$B$4)^F2</f>
        <v>20.41742579411341</v>
      </c>
    </row>
    <row r="6" spans="1:6" ht="12">
      <c r="A6" s="1"/>
      <c r="B6" s="89"/>
      <c r="C6" s="89"/>
      <c r="D6" s="89"/>
      <c r="E6" s="89"/>
      <c r="F6" s="89"/>
    </row>
    <row r="7" spans="1:6" ht="12">
      <c r="A7" s="1" t="s">
        <v>80</v>
      </c>
      <c r="B7" s="90">
        <v>0.01</v>
      </c>
      <c r="C7" s="89"/>
      <c r="D7" s="89"/>
      <c r="E7" s="89"/>
      <c r="F7" s="89"/>
    </row>
    <row r="8" spans="1:6" ht="12">
      <c r="A8" s="1" t="s">
        <v>81</v>
      </c>
      <c r="B8" s="89">
        <f>F3*(1+B7)</f>
        <v>39.70512945264644</v>
      </c>
      <c r="C8" s="89"/>
      <c r="D8" s="89"/>
      <c r="E8" s="89"/>
      <c r="F8" s="89"/>
    </row>
    <row r="9" spans="1:6" ht="12">
      <c r="A9" s="1" t="s">
        <v>82</v>
      </c>
      <c r="B9" s="67">
        <f>B8/(B4-B7)</f>
        <v>305.4240727126649</v>
      </c>
      <c r="C9" s="87"/>
      <c r="D9" s="87"/>
      <c r="E9" s="87"/>
      <c r="F9" s="87"/>
    </row>
    <row r="10" spans="1:6" ht="12">
      <c r="A10" s="1"/>
      <c r="B10" s="87"/>
      <c r="C10" s="87"/>
      <c r="D10" s="87"/>
      <c r="E10" s="87"/>
      <c r="F10" s="87"/>
    </row>
    <row r="11" spans="1:6" ht="12">
      <c r="A11" s="1" t="s">
        <v>83</v>
      </c>
      <c r="B11" s="87">
        <f>SUM(B5:F5)</f>
        <v>81.82805272634407</v>
      </c>
      <c r="C11" s="87"/>
      <c r="D11" s="87"/>
      <c r="E11" s="87"/>
      <c r="F11" s="87"/>
    </row>
    <row r="12" spans="1:6" ht="12">
      <c r="A12" s="1" t="s">
        <v>84</v>
      </c>
      <c r="B12" s="91">
        <f>B9/(1+B4)^5</f>
        <v>158.62769270811185</v>
      </c>
      <c r="C12" s="87"/>
      <c r="D12" s="87"/>
      <c r="E12" s="87"/>
      <c r="F12" s="87"/>
    </row>
    <row r="13" spans="1:6" ht="12">
      <c r="A13" s="2" t="s">
        <v>85</v>
      </c>
      <c r="B13" s="92">
        <f>SUM(B11:B12)</f>
        <v>240.45574543445593</v>
      </c>
      <c r="C13" s="87"/>
      <c r="D13" s="87"/>
      <c r="E13" s="87"/>
      <c r="F13" s="87"/>
    </row>
    <row r="14" spans="1:6" ht="12">
      <c r="A14" s="1"/>
      <c r="B14" s="87"/>
      <c r="C14" s="87"/>
      <c r="D14" s="87"/>
      <c r="E14" s="87"/>
      <c r="F14" s="87"/>
    </row>
    <row r="15" spans="1:6" ht="12">
      <c r="A15" s="1"/>
      <c r="B15" s="86" t="str">
        <f>B1</f>
        <v>N+1</v>
      </c>
      <c r="C15" s="86" t="str">
        <f>C1</f>
        <v>N+2</v>
      </c>
      <c r="D15" s="86" t="str">
        <f>D1</f>
        <v>N+3</v>
      </c>
      <c r="E15" s="86" t="str">
        <f>E1</f>
        <v>N+4</v>
      </c>
      <c r="F15" s="86" t="str">
        <f>F1</f>
        <v>N+5</v>
      </c>
    </row>
    <row r="16" spans="1:6" ht="12">
      <c r="A16" s="1"/>
      <c r="B16" s="87">
        <v>1</v>
      </c>
      <c r="C16" s="87">
        <f>B16+1</f>
        <v>2</v>
      </c>
      <c r="D16" s="87">
        <f>C16+1</f>
        <v>3</v>
      </c>
      <c r="E16" s="87">
        <f>D16+1</f>
        <v>4</v>
      </c>
      <c r="F16" s="87">
        <f>E16+1</f>
        <v>5</v>
      </c>
    </row>
    <row r="17" spans="1:6" ht="12">
      <c r="A17" s="88" t="s">
        <v>86</v>
      </c>
      <c r="B17" s="89">
        <f>CF_prévisionnels!B49</f>
        <v>29.928171608559055</v>
      </c>
      <c r="C17" s="89">
        <f>CF_prévisionnels!C49</f>
        <v>36.18918201658826</v>
      </c>
      <c r="D17" s="89">
        <f>CF_prévisionnels!D49</f>
        <v>42.84646575356496</v>
      </c>
      <c r="E17" s="89">
        <f>CF_prévisionnels!E49</f>
        <v>47.57712438370747</v>
      </c>
      <c r="F17" s="89">
        <f>CF_prévisionnels!F49</f>
        <v>52.497009359055866</v>
      </c>
    </row>
    <row r="18" spans="1:6" ht="12">
      <c r="A18" s="1" t="s">
        <v>77</v>
      </c>
      <c r="B18" s="93">
        <f>'Taux d''actualisation'!B17</f>
        <v>0.08037542184130644</v>
      </c>
      <c r="C18" s="89"/>
      <c r="D18" s="89"/>
      <c r="E18" s="89"/>
      <c r="F18" s="89"/>
    </row>
    <row r="19" spans="1:6" ht="12">
      <c r="A19" s="1" t="s">
        <v>79</v>
      </c>
      <c r="B19" s="89">
        <f>(B17)/(1+$B$18)^B16</f>
        <v>27.701640562640574</v>
      </c>
      <c r="C19" s="89">
        <f>(C17)/(1+$B$18)^C16</f>
        <v>31.004831517741216</v>
      </c>
      <c r="D19" s="89">
        <f>(D17)/(1+$B$18)^D16</f>
        <v>33.97746060826334</v>
      </c>
      <c r="E19" s="89">
        <f>(E17)/(1+$B$18)^E16</f>
        <v>34.922024035155125</v>
      </c>
      <c r="F19" s="89">
        <f>(F17)/(1+$B$18)^F16</f>
        <v>35.6665486047651</v>
      </c>
    </row>
    <row r="20" spans="1:6" ht="12">
      <c r="A20" s="1"/>
      <c r="B20" s="89"/>
      <c r="C20" s="89"/>
      <c r="D20" s="89"/>
      <c r="E20" s="89"/>
      <c r="F20" s="89"/>
    </row>
    <row r="21" spans="1:6" ht="12">
      <c r="A21" s="1" t="s">
        <v>87</v>
      </c>
      <c r="B21" s="90">
        <v>0.01</v>
      </c>
      <c r="C21" s="89"/>
      <c r="D21" s="89"/>
      <c r="E21" s="89"/>
      <c r="F21" s="89"/>
    </row>
    <row r="22" spans="1:6" ht="12">
      <c r="A22" s="1" t="s">
        <v>88</v>
      </c>
      <c r="B22" s="89">
        <f>F17*(1+B21)</f>
        <v>53.02197945264643</v>
      </c>
      <c r="C22" s="87"/>
      <c r="D22" s="87"/>
      <c r="E22" s="87"/>
      <c r="F22" s="87"/>
    </row>
    <row r="23" spans="1:6" ht="12">
      <c r="A23" s="1" t="s">
        <v>89</v>
      </c>
      <c r="B23" s="67">
        <f>B22/(B18-B21)</f>
        <v>753.4161510563832</v>
      </c>
      <c r="C23" s="87"/>
      <c r="D23" s="87"/>
      <c r="E23" s="87"/>
      <c r="F23" s="87"/>
    </row>
    <row r="24" spans="1:6" ht="12">
      <c r="A24" s="1"/>
      <c r="B24" s="87"/>
      <c r="C24" s="87"/>
      <c r="D24" s="87"/>
      <c r="E24" s="87"/>
      <c r="F24" s="87"/>
    </row>
    <row r="25" spans="1:6" ht="12">
      <c r="A25" s="1" t="s">
        <v>90</v>
      </c>
      <c r="B25" s="89">
        <f>SUM(B19:F19)</f>
        <v>163.27250532856533</v>
      </c>
      <c r="C25" s="87"/>
      <c r="D25" s="87"/>
      <c r="E25" s="87"/>
      <c r="F25" s="87"/>
    </row>
    <row r="26" spans="1:6" ht="12">
      <c r="A26" s="1" t="s">
        <v>91</v>
      </c>
      <c r="B26" s="91">
        <f>B23/(1+B18)^5</f>
        <v>511.87208755982385</v>
      </c>
      <c r="C26" s="87"/>
      <c r="D26" s="87"/>
      <c r="E26" s="87"/>
      <c r="F26" s="87"/>
    </row>
    <row r="27" spans="1:6" ht="12">
      <c r="A27" s="1" t="s">
        <v>92</v>
      </c>
      <c r="B27" s="67">
        <f>SUM(B25:B26)</f>
        <v>675.1445928883892</v>
      </c>
      <c r="C27" s="87"/>
      <c r="D27" s="87"/>
      <c r="E27" s="87"/>
      <c r="F27" s="87"/>
    </row>
    <row r="28" spans="1:6" ht="12">
      <c r="A28" s="1" t="s">
        <v>93</v>
      </c>
      <c r="B28" s="91">
        <f>-(ComptesPrévisionnels!F19+ComptesPrévisionnels!F20)+ComptesPrévisionnels!F13</f>
        <v>-410.565</v>
      </c>
      <c r="C28" s="87"/>
      <c r="D28" s="87"/>
      <c r="E28" s="87"/>
      <c r="F28" s="87"/>
    </row>
    <row r="29" spans="1:6" ht="12">
      <c r="A29" s="2" t="s">
        <v>94</v>
      </c>
      <c r="B29" s="86">
        <f>B27+B28</f>
        <v>264.5795928883892</v>
      </c>
      <c r="C29" s="87"/>
      <c r="D29" s="87"/>
      <c r="E29" s="87"/>
      <c r="F29" s="87"/>
    </row>
    <row r="30" spans="1:6" ht="12">
      <c r="A30" s="1"/>
      <c r="B30" s="89"/>
      <c r="C30" s="87"/>
      <c r="D30" s="87"/>
      <c r="E30" s="87"/>
      <c r="F30" s="87"/>
    </row>
    <row r="31" spans="1:6" ht="12">
      <c r="A31" s="2" t="s">
        <v>95</v>
      </c>
      <c r="B31" s="89"/>
      <c r="C31" s="87"/>
      <c r="D31" s="87"/>
      <c r="E31" s="87"/>
      <c r="F31" s="87"/>
    </row>
    <row r="32" spans="1:6" ht="12">
      <c r="A32" s="1" t="s">
        <v>96</v>
      </c>
      <c r="B32" s="89">
        <f>'Taux d''actualisation'!B10</f>
        <v>262.0914576</v>
      </c>
      <c r="C32" s="87"/>
      <c r="D32" s="87"/>
      <c r="E32" s="87"/>
      <c r="F32" s="87"/>
    </row>
    <row r="33" spans="1:6" ht="12">
      <c r="A33" s="1" t="s">
        <v>97</v>
      </c>
      <c r="B33" s="89">
        <f>B13</f>
        <v>240.45574543445593</v>
      </c>
      <c r="C33" s="87"/>
      <c r="D33" s="87"/>
      <c r="E33" s="87"/>
      <c r="F33" s="87"/>
    </row>
    <row r="34" spans="1:6" ht="12">
      <c r="A34" s="1" t="s">
        <v>98</v>
      </c>
      <c r="B34" s="89">
        <f>B29</f>
        <v>264.5795928883892</v>
      </c>
      <c r="C34" s="90">
        <f>(B34-B33)/B33</f>
        <v>0.10032551898623272</v>
      </c>
      <c r="D34" s="87"/>
      <c r="E34" s="87"/>
      <c r="F34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36.8515625" style="0" customWidth="1"/>
    <col min="2" max="2" width="8.140625" style="0" customWidth="1"/>
    <col min="3" max="3" width="9.57421875" style="0" customWidth="1"/>
    <col min="4" max="6" width="7.7109375" style="0" customWidth="1"/>
    <col min="7" max="7" width="7.140625" style="0" customWidth="1"/>
    <col min="9" max="11" width="7.140625" style="0" customWidth="1"/>
    <col min="12" max="16384" width="11.7109375" style="0" customWidth="1"/>
  </cols>
  <sheetData>
    <row r="1" ht="12">
      <c r="A1" s="2" t="s">
        <v>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Thibierge</dc:creator>
  <cp:keywords/>
  <dc:description/>
  <cp:lastModifiedBy/>
  <cp:lastPrinted>2011-01-13T16:52:54Z</cp:lastPrinted>
  <dcterms:created xsi:type="dcterms:W3CDTF">2007-12-07T10:39:54Z</dcterms:created>
  <dcterms:modified xsi:type="dcterms:W3CDTF">2012-11-06T08:58:28Z</dcterms:modified>
  <cp:category/>
  <cp:version/>
  <cp:contentType/>
  <cp:contentStatus/>
  <cp:revision>46</cp:revision>
</cp:coreProperties>
</file>